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C:\Users\vartotojas\Documents\1_T_SPRENDIMAI\2026 m. sprendimai\SVP ivykdymo ataskaita\"/>
    </mc:Choice>
  </mc:AlternateContent>
  <xr:revisionPtr revIDLastSave="0" documentId="13_ncr:1_{C6647B64-D875-4DF7-AAE3-90FC22E84707}" xr6:coauthVersionLast="47" xr6:coauthVersionMax="47" xr10:uidLastSave="{00000000-0000-0000-0000-000000000000}"/>
  <bookViews>
    <workbookView xWindow="3705" yWindow="2130" windowWidth="21600" windowHeight="11385" activeTab="1" xr2:uid="{00000000-000D-0000-FFFF-FFFF00000000}"/>
  </bookViews>
  <sheets>
    <sheet name="Aprašymas" sheetId="3" r:id="rId1"/>
    <sheet name="Programos ataskaita" sheetId="2" r:id="rId2"/>
  </sheets>
  <calcPr calcId="191029"/>
</workbook>
</file>

<file path=xl/calcChain.xml><?xml version="1.0" encoding="utf-8"?>
<calcChain xmlns="http://schemas.openxmlformats.org/spreadsheetml/2006/main">
  <c r="F113" i="2" l="1"/>
  <c r="F174" i="2" l="1"/>
  <c r="F175" i="2"/>
  <c r="F177" i="2"/>
  <c r="F178" i="2"/>
  <c r="F180" i="2"/>
  <c r="F182" i="2"/>
  <c r="F183" i="2"/>
  <c r="F185" i="2"/>
  <c r="F186" i="2"/>
  <c r="F171" i="2"/>
  <c r="F156" i="2"/>
  <c r="F157" i="2"/>
  <c r="F149" i="2"/>
  <c r="F150" i="2"/>
  <c r="F144" i="2"/>
  <c r="F145" i="2"/>
  <c r="F143" i="2"/>
  <c r="F137" i="2"/>
  <c r="F133" i="2"/>
  <c r="F124" i="2"/>
  <c r="F125" i="2"/>
  <c r="F126" i="2"/>
  <c r="F127" i="2"/>
  <c r="F128" i="2"/>
  <c r="F129" i="2"/>
  <c r="F123" i="2"/>
  <c r="F112" i="2"/>
  <c r="F114" i="2"/>
  <c r="F115" i="2"/>
  <c r="F116" i="2"/>
  <c r="F111" i="2"/>
  <c r="F104" i="2"/>
  <c r="F99" i="2"/>
  <c r="F10" i="2"/>
  <c r="C11" i="2"/>
  <c r="D11" i="2"/>
  <c r="F11" i="2" s="1"/>
  <c r="E11" i="2"/>
  <c r="C14" i="2"/>
  <c r="C16" i="2"/>
  <c r="D16" i="2"/>
  <c r="E16" i="2"/>
  <c r="F16" i="2" s="1"/>
  <c r="C22" i="2"/>
  <c r="D22" i="2"/>
  <c r="E22" i="2"/>
  <c r="C28" i="2"/>
  <c r="D28" i="2"/>
  <c r="E28" i="2"/>
  <c r="F28" i="2" s="1"/>
  <c r="C34" i="2"/>
  <c r="D34" i="2"/>
  <c r="E34" i="2"/>
  <c r="F34" i="2" s="1"/>
  <c r="C40" i="2"/>
  <c r="D40" i="2"/>
  <c r="E40" i="2"/>
  <c r="F40" i="2" s="1"/>
  <c r="C46" i="2"/>
  <c r="D46" i="2"/>
  <c r="E46" i="2"/>
  <c r="F46" i="2" s="1"/>
  <c r="C52" i="2"/>
  <c r="D52" i="2"/>
  <c r="E52" i="2"/>
  <c r="F52" i="2" s="1"/>
  <c r="C58" i="2"/>
  <c r="D58" i="2"/>
  <c r="E58" i="2"/>
  <c r="C64" i="2"/>
  <c r="D64" i="2"/>
  <c r="E64" i="2"/>
  <c r="F64" i="2" s="1"/>
  <c r="C70" i="2"/>
  <c r="D70" i="2"/>
  <c r="E70" i="2"/>
  <c r="F70" i="2" s="1"/>
  <c r="C76" i="2"/>
  <c r="D76" i="2"/>
  <c r="F76" i="2"/>
  <c r="C81" i="2"/>
  <c r="D81" i="2"/>
  <c r="E81" i="2"/>
  <c r="C83" i="2"/>
  <c r="D83" i="2"/>
  <c r="E83" i="2"/>
  <c r="F83" i="2" s="1"/>
  <c r="C89" i="2"/>
  <c r="D89" i="2"/>
  <c r="E89" i="2"/>
  <c r="F89" i="2" s="1"/>
  <c r="C94" i="2"/>
  <c r="D94" i="2"/>
  <c r="E94" i="2"/>
  <c r="F94" i="2" s="1"/>
  <c r="C100" i="2"/>
  <c r="D100" i="2"/>
  <c r="E100" i="2"/>
  <c r="C102" i="2"/>
  <c r="D102" i="2"/>
  <c r="E102" i="2"/>
  <c r="F102" i="2" s="1"/>
  <c r="C105" i="2"/>
  <c r="D105" i="2"/>
  <c r="E105" i="2"/>
  <c r="F105" i="2" s="1"/>
  <c r="C109" i="2"/>
  <c r="D109" i="2"/>
  <c r="E109" i="2"/>
  <c r="F109" i="2" s="1"/>
  <c r="C117" i="2"/>
  <c r="D117" i="2"/>
  <c r="E117" i="2"/>
  <c r="C130" i="2"/>
  <c r="D130" i="2"/>
  <c r="E130" i="2"/>
  <c r="F130" i="2" s="1"/>
  <c r="C135" i="2"/>
  <c r="C134" i="2" s="1"/>
  <c r="D135" i="2"/>
  <c r="D134" i="2" s="1"/>
  <c r="E134" i="2"/>
  <c r="F134" i="2" s="1"/>
  <c r="C139" i="2"/>
  <c r="C138" i="2" s="1"/>
  <c r="D139" i="2"/>
  <c r="D138" i="2" s="1"/>
  <c r="E139" i="2"/>
  <c r="E138" i="2" s="1"/>
  <c r="F138" i="2" s="1"/>
  <c r="C147" i="2"/>
  <c r="C146" i="2" s="1"/>
  <c r="D147" i="2"/>
  <c r="D146" i="2" s="1"/>
  <c r="E147" i="2"/>
  <c r="E146" i="2" s="1"/>
  <c r="C153" i="2"/>
  <c r="D153" i="2"/>
  <c r="E153" i="2"/>
  <c r="F153" i="2" s="1"/>
  <c r="C158" i="2"/>
  <c r="D158" i="2"/>
  <c r="E158" i="2"/>
  <c r="C167" i="2"/>
  <c r="D167" i="2"/>
  <c r="E167" i="2"/>
  <c r="C170" i="2"/>
  <c r="D170" i="2"/>
  <c r="E170" i="2"/>
  <c r="C173" i="2"/>
  <c r="D173" i="2"/>
  <c r="E173" i="2"/>
  <c r="F173" i="2" s="1"/>
  <c r="C176" i="2"/>
  <c r="D176" i="2"/>
  <c r="E176" i="2"/>
  <c r="F176" i="2" s="1"/>
  <c r="C179" i="2"/>
  <c r="D179" i="2"/>
  <c r="E179" i="2"/>
  <c r="F179" i="2" s="1"/>
  <c r="C181" i="2"/>
  <c r="D181" i="2"/>
  <c r="E181" i="2"/>
  <c r="C184" i="2"/>
  <c r="D184" i="2"/>
  <c r="E184" i="2"/>
  <c r="F184" i="2" l="1"/>
  <c r="F22" i="2"/>
  <c r="F181" i="2"/>
  <c r="F170" i="2"/>
  <c r="F146" i="2"/>
  <c r="F117" i="2"/>
  <c r="F100" i="2"/>
  <c r="F81" i="2"/>
  <c r="F58" i="2"/>
  <c r="F14" i="2"/>
  <c r="F147" i="2"/>
  <c r="F135" i="2"/>
  <c r="F139" i="2"/>
  <c r="D172" i="2"/>
  <c r="D187" i="2" s="1"/>
  <c r="E172" i="2"/>
  <c r="C172" i="2"/>
  <c r="C187" i="2" s="1"/>
  <c r="C8" i="2"/>
  <c r="E151" i="2"/>
  <c r="C151" i="2"/>
  <c r="D151" i="2"/>
  <c r="E8" i="2"/>
  <c r="D8" i="2"/>
  <c r="D7" i="2" s="1"/>
  <c r="D6" i="2" s="1"/>
  <c r="C7" i="2" l="1"/>
  <c r="C6" i="2" s="1"/>
  <c r="E187" i="2"/>
  <c r="F187" i="2" s="1"/>
  <c r="F172" i="2"/>
  <c r="F151" i="2"/>
  <c r="F8" i="2"/>
  <c r="E7" i="2"/>
  <c r="E6" i="2" l="1"/>
  <c r="F6" i="2" s="1"/>
  <c r="F7" i="2"/>
</calcChain>
</file>

<file path=xl/sharedStrings.xml><?xml version="1.0" encoding="utf-8"?>
<sst xmlns="http://schemas.openxmlformats.org/spreadsheetml/2006/main" count="831" uniqueCount="496">
  <si>
    <t>Rodiklis</t>
  </si>
  <si>
    <t>Mato vnt.</t>
  </si>
  <si>
    <t>Planas</t>
  </si>
  <si>
    <t>001</t>
  </si>
  <si>
    <t>Savivaldybės valdymo programa</t>
  </si>
  <si>
    <t>001-01</t>
  </si>
  <si>
    <t>Efektyviai, ekonomiškai, rezultatyviai ir teisėtai atstovauti  Telšių savivaldybės bendruomenės interesams</t>
  </si>
  <si>
    <t>001-01-01 (T)</t>
  </si>
  <si>
    <t>Sudaryti sąlygas įgyvendinti savivaldybės funkcijas</t>
  </si>
  <si>
    <t>001-01-01-01 (TP)</t>
  </si>
  <si>
    <t>Savivaldybės tarybos finansinio, ūkinio bei materialinio aptarnavimo užtikrinimas</t>
  </si>
  <si>
    <t>Savivaldybės tarybos narių ir mero patarėjų skaičius</t>
  </si>
  <si>
    <t>vnt.</t>
  </si>
  <si>
    <t>27,00</t>
  </si>
  <si>
    <t>001-01-01-02 (TP)</t>
  </si>
  <si>
    <t>Savivaldybės kontrolės ir audito tarnybos finansinio, ūkinio bei materialinio aptarnavimo užtikrinimas</t>
  </si>
  <si>
    <t>Kontrolės ir audito tarnybos atliktų auditų skaičius</t>
  </si>
  <si>
    <t>2,00</t>
  </si>
  <si>
    <t>Kontrolės ir audito tarnybos pateiktų išvadų skaičius</t>
  </si>
  <si>
    <t>1,00</t>
  </si>
  <si>
    <t>Įgyvendintų rekomendacijų dalis</t>
  </si>
  <si>
    <t>proc.</t>
  </si>
  <si>
    <t>70,00</t>
  </si>
  <si>
    <t>001-01-01-03 (TP)</t>
  </si>
  <si>
    <t>Savivaldybės administracijos struktūrinių padalinių ir specialistų darbo organizavimas</t>
  </si>
  <si>
    <t>Išlaikomų etatų  skaičius</t>
  </si>
  <si>
    <t>159,00</t>
  </si>
  <si>
    <t>Vienam darbuotojui tenkančios išlaidos darbo vietai išlaikyti (be mokos fondo)</t>
  </si>
  <si>
    <t>Eur</t>
  </si>
  <si>
    <t>2.150,00</t>
  </si>
  <si>
    <t>001-01-01-04 (TP)</t>
  </si>
  <si>
    <t>Degaičių seniūnijos darbo organizavimas</t>
  </si>
  <si>
    <t>55,00</t>
  </si>
  <si>
    <t>50,00</t>
  </si>
  <si>
    <t>Dokumentais įformintų notarinių veiksmų skaičius</t>
  </si>
  <si>
    <t>15,00</t>
  </si>
  <si>
    <t>5,00</t>
  </si>
  <si>
    <t>Išduotų leidimų laidoti skaičius</t>
  </si>
  <si>
    <t>75,00</t>
  </si>
  <si>
    <t>80,00</t>
  </si>
  <si>
    <t>Išduotų leidimų prekybos, paslaugų, žemės kasimo darbams atlikti skaičius</t>
  </si>
  <si>
    <t>10,00</t>
  </si>
  <si>
    <t>Prižiūrimų pastatų skaičius</t>
  </si>
  <si>
    <t>Gyventojų skaičiaus pokytis, lyginant su n-1 metais</t>
  </si>
  <si>
    <t>001-01-01-05 (TP)</t>
  </si>
  <si>
    <t>Gadūnavo seniūnijos darbo organizavimas</t>
  </si>
  <si>
    <t>25,00</t>
  </si>
  <si>
    <t>20,00</t>
  </si>
  <si>
    <t>3,00</t>
  </si>
  <si>
    <t>001-01-01-06 (TP)</t>
  </si>
  <si>
    <t>Luokės seniūnijos darbo organizavimas</t>
  </si>
  <si>
    <t>40,00</t>
  </si>
  <si>
    <t>45,00</t>
  </si>
  <si>
    <t>4,00</t>
  </si>
  <si>
    <t>001-01-01-07 (TP)</t>
  </si>
  <si>
    <t>Nevarėnų seniūnijos darbo organizavimas</t>
  </si>
  <si>
    <t>170,00</t>
  </si>
  <si>
    <t>30,00</t>
  </si>
  <si>
    <t>Išduotų leidimų prekybos, paslaugų, žemės kasimo darbams atlikti</t>
  </si>
  <si>
    <t>001-01-01-08 (TP)</t>
  </si>
  <si>
    <t>Ryškėnų seniūnijos darbo organizavimas</t>
  </si>
  <si>
    <t>12,00</t>
  </si>
  <si>
    <t>Išduotų  leidimų prekybos, paslaugų, žemės kasimo darbams atlikti skaičius</t>
  </si>
  <si>
    <t>60,00</t>
  </si>
  <si>
    <t>001-01-01-09 (TP)</t>
  </si>
  <si>
    <t>Tryškių seniūnijos darbo organizavimas</t>
  </si>
  <si>
    <t>90,00</t>
  </si>
  <si>
    <t>001-01-01-10 (TP)</t>
  </si>
  <si>
    <t>Upynos seniūnijos darbo organizavimas</t>
  </si>
  <si>
    <t>Išduotų  leidimų laidoti skaičius</t>
  </si>
  <si>
    <t>24,00</t>
  </si>
  <si>
    <t>001-01-01-11 (TP)</t>
  </si>
  <si>
    <t>Varnių seniūnijos darbo organizavimas</t>
  </si>
  <si>
    <t>370,00</t>
  </si>
  <si>
    <t>120,00</t>
  </si>
  <si>
    <t>Išduotų leidimų prekybos, žemės kasimo darbams atlikti skaičius</t>
  </si>
  <si>
    <t>100,00</t>
  </si>
  <si>
    <t>8,00</t>
  </si>
  <si>
    <t>001-01-01-12 (TP)</t>
  </si>
  <si>
    <t>Viešvėnų seniūnijos darbo organizavimas</t>
  </si>
  <si>
    <t>220,00</t>
  </si>
  <si>
    <t>49,00</t>
  </si>
  <si>
    <t>001-01-01-13 (TP)</t>
  </si>
  <si>
    <t>Žarėnų seniūnijos darbo organizavimas</t>
  </si>
  <si>
    <t>001-01-01-14 (TP)</t>
  </si>
  <si>
    <t>Telšių miesto seniūnijos darbo organizavimas</t>
  </si>
  <si>
    <t>3.200,00</t>
  </si>
  <si>
    <t>200,00</t>
  </si>
  <si>
    <t>001-01-01-15 (TP)</t>
  </si>
  <si>
    <t>Gyventojų registrų tvarkymo ir dokumentų teikimo valstybės registrams organizavimas</t>
  </si>
  <si>
    <t>Gyventojų registro piliečių duomenų bazės papildymas duomenimis (piliečių skaičius)</t>
  </si>
  <si>
    <t>720,00</t>
  </si>
  <si>
    <t>Archyvinių civilinės būklės aktų įrašų pateiktų registro tvarkytojui, skaičius</t>
  </si>
  <si>
    <t>704,00</t>
  </si>
  <si>
    <t>001-01-01-16 (TP)</t>
  </si>
  <si>
    <t>Civilinės būklės aktų registravimo organizavimas</t>
  </si>
  <si>
    <t>Išnagrinėta vardo, pavardės pakeitimo bylų</t>
  </si>
  <si>
    <t>Užregistruota santuokų</t>
  </si>
  <si>
    <t>Išduota gimimo, mirties, santuokos, ištuokos aktų įrašų</t>
  </si>
  <si>
    <t>1.200,00</t>
  </si>
  <si>
    <t>Išduota pažymų apie šeiminę padėtį</t>
  </si>
  <si>
    <t>Užregistruota gimimų</t>
  </si>
  <si>
    <t>260,00</t>
  </si>
  <si>
    <t>Elektroniniu būdu pateiktų dokumentų dalis nuo visų gautų dokumentų dėl civilinės būklės aktų registravimo ir kitų su tuo susijusių paslaugų teikimo skaičiaus</t>
  </si>
  <si>
    <t>63,00</t>
  </si>
  <si>
    <t>001-01-01-17 (TP)</t>
  </si>
  <si>
    <t>Valstybinės kalbos vartojimo ir taisyklingumo kontrolės organizavimas</t>
  </si>
  <si>
    <t>Patikrintų įmonių ir įstaigų skaičius</t>
  </si>
  <si>
    <t>11,00</t>
  </si>
  <si>
    <t>Patikrintų žiniasklaidos priemonių skaičius</t>
  </si>
  <si>
    <t>6,00</t>
  </si>
  <si>
    <t>Suderintų reklamos projektų skaičius</t>
  </si>
  <si>
    <t>Informacinė ir šviečiamoji veikla (publikacijų skaičius)</t>
  </si>
  <si>
    <t>Renginių organizavimas, respublikinių renginių Telšių r. koordinavimas (renginių skaičius)</t>
  </si>
  <si>
    <t>001-01-01-18 (TP)</t>
  </si>
  <si>
    <t>Savivaldybėms priskirtų archyvinių dokumentų tvarkymo organizavimas</t>
  </si>
  <si>
    <t>Priimtų likviduotų įmonių dokumentų kiekis</t>
  </si>
  <si>
    <t>1.500,00</t>
  </si>
  <si>
    <t>Dokumentus perdavusių likviduotų įmonių skaičius</t>
  </si>
  <si>
    <t>Teisės aktų nustatyta tvarka atrinktų naikinti (nurašytų) likviduotų įmonių saugomų dokumentų kiekis</t>
  </si>
  <si>
    <t>2.000,00</t>
  </si>
  <si>
    <t>Išnagrinėtų asmenų prašymų išduoti juridinius faktus patvirtinančius dokumentus (iš likviduotų įmonių dokumentų) skaičius</t>
  </si>
  <si>
    <t>500,00</t>
  </si>
  <si>
    <t>800,00</t>
  </si>
  <si>
    <t>Išduotų juridinius faktus patvirtinančių dokumentų (iš likviduotų įmonių dokumentų) skaičius</t>
  </si>
  <si>
    <t>1.400,00</t>
  </si>
  <si>
    <t>1.600,00</t>
  </si>
  <si>
    <t>001-01-01-19 (TP)</t>
  </si>
  <si>
    <t>Duomenų teikimo suteiktos valstybės pagalbos registrui organizavimas</t>
  </si>
  <si>
    <t>Duomenis teikiančio asmens darbo užmokesčio dalis nuo bendro atlyginimo</t>
  </si>
  <si>
    <t>0,03</t>
  </si>
  <si>
    <t>001-01-01-20 (TP)</t>
  </si>
  <si>
    <t>Pirminės teisinės pagalbos teikimo organizavimas</t>
  </si>
  <si>
    <t>Suteikta pirminė teisinė pagalba asmenims</t>
  </si>
  <si>
    <t>Pirminės valstybės garantuojamos teisinės pagalbos specialistų netiksliai (netinkamai) užpildytų prašymų suteikti antrinę valstybės garantuojamą teisinę pagalbą skaičius nuo savivaldybės parengtų prašymų suteikti antrinę valstybės garantuojamą teisinę pagalbą skaičiaus</t>
  </si>
  <si>
    <t>4,70</t>
  </si>
  <si>
    <t>001-01-01-22 (TP)</t>
  </si>
  <si>
    <t>Gyvenamosios vietos deklaravimo organizavimas</t>
  </si>
  <si>
    <t>Gyvenamosios vietos deklaracijų, asmenų pateiktų elektroniniu būdu, dalies didėjimas (pagal VĮ Registrų centras pateiktus duomenis)</t>
  </si>
  <si>
    <t>38,00</t>
  </si>
  <si>
    <t>001-01-01-24 (TP)</t>
  </si>
  <si>
    <t>Mobilizacijos administravimo organizavimas</t>
  </si>
  <si>
    <t>Atliktas mobilizacijos plano pakeitimas</t>
  </si>
  <si>
    <t>001-01-01-25 (TP)</t>
  </si>
  <si>
    <t>Civilinės saugos administravimo organizavimas</t>
  </si>
  <si>
    <t>Suorganizuota ūkio subjektų ir kitų įstaigų civilinės saugos būklės patikrinimų</t>
  </si>
  <si>
    <t>9,00</t>
  </si>
  <si>
    <t>Savivaldybės pasirengimo reaguoti į ekstremalias situacijas lygis</t>
  </si>
  <si>
    <t>87,00</t>
  </si>
  <si>
    <t>22,00</t>
  </si>
  <si>
    <t>Įrengtų naujų sirenų ir prijungtų prie centralizuoto valdymo pulto skaičius</t>
  </si>
  <si>
    <t>001-01-01-27 (TP)</t>
  </si>
  <si>
    <t>Jaunimo politikos įgyvendinimas</t>
  </si>
  <si>
    <t>Jaunų žmonių, dalyvavusių  jaunimo politikos įgyvendinimo priemonėse, dalis proc. nuo bendro jaunų žmonių skaičiaus</t>
  </si>
  <si>
    <t>19,00</t>
  </si>
  <si>
    <t>Jaunimo reikalų koordinatoriams savivaldybėse rekomenduotų atlikti užduočių įgyvendinimas (ne mažiau, kaip)</t>
  </si>
  <si>
    <t>85,00</t>
  </si>
  <si>
    <t>001-01-01-28 (TP)</t>
  </si>
  <si>
    <t>Globos asmenims su sunkia negalia administravimo organizavimas</t>
  </si>
  <si>
    <t>Išlaidų asmenims su sunkia negalia socialinei globai sumos dalis</t>
  </si>
  <si>
    <t>001-01-01-29 (TP)</t>
  </si>
  <si>
    <t>Socialinių išmokų ir kompensacijų skaičiavimo ir mokėjimo administravimo organizavimas Savivaldybės administracijoje</t>
  </si>
  <si>
    <t>Dalis nuo išmokėtų socialinių išmokų ir kompensacijų</t>
  </si>
  <si>
    <t>001-01-01-30 (TP)</t>
  </si>
  <si>
    <t>Darbo rinkos politikos rengimo ir įgyvendinimo administravimo organizavimas</t>
  </si>
  <si>
    <t>Išlaidų dalis, tenkanti darbo rinkos politikos rengimo ir įgyvendinimo administravimui</t>
  </si>
  <si>
    <t>001-01-01-31 (TP)</t>
  </si>
  <si>
    <t>Socialinės paramos mokiniams administravimo organizavimas</t>
  </si>
  <si>
    <t>Išlaidų dalis nuo skirtos socialinės paramos mokiniams</t>
  </si>
  <si>
    <t>3,27</t>
  </si>
  <si>
    <t>001-01-01-32 (TP)</t>
  </si>
  <si>
    <t>Išmokų vaikams administravimo organizavimas</t>
  </si>
  <si>
    <t>Išlaidų dalis nuo išmokėtų išmokų vaikams</t>
  </si>
  <si>
    <t>0,70</t>
  </si>
  <si>
    <t>001-01-01-33 (TP)</t>
  </si>
  <si>
    <t>Individualios pagalbos teikimo išlaidų kompensacijoms administruoti</t>
  </si>
  <si>
    <t>Išlaidų dalis nuo išmokėtų tikslinių kompensacijų</t>
  </si>
  <si>
    <t>4,10</t>
  </si>
  <si>
    <t>001-01-01-34 (TP)</t>
  </si>
  <si>
    <t>Žemės ūkio funkcijų vykdymo organizavimas: Savivaldybės administracijoje, Degaičių seniūnijoje, Gadūnavo seniūnijoje, Luokės seniūnijoje, Nevarėnų seniūnijoje, Ryškėnų seniūnijoje, Tryškių seniūnijoje, Upynos seniūnijoje, Varnių seniūnijoje, Viešvėnų seniūnijoje, Žarėnų seniūnijoje</t>
  </si>
  <si>
    <t>Pateiktų žemės ūkio naudmenų ir pasėlių paraiškų skaičius</t>
  </si>
  <si>
    <t>2.800,00</t>
  </si>
  <si>
    <t>Įregistruotų ir atnaujintų žemės ūkio valdų skaičius</t>
  </si>
  <si>
    <t>3.300,00</t>
  </si>
  <si>
    <t>Įregistruotų ir atnaujintų žemės ūkininkų ūkių skaičius</t>
  </si>
  <si>
    <t>2.100,00</t>
  </si>
  <si>
    <t>Pateiktų paraiškų dėl pasėlių plotų keitimo skaičius</t>
  </si>
  <si>
    <t>Įregistruotų, pakeistų registracijos duomenų ir išregistruotos žemės ūkio technikos skaičius</t>
  </si>
  <si>
    <t>1.370,00</t>
  </si>
  <si>
    <t>Išduotų traktorių ir kitos žemės ūkio technikos apžiūros talonų skaičius</t>
  </si>
  <si>
    <t>001-01-01-38 (TP)</t>
  </si>
  <si>
    <t>Seniūnaičių veiklos rėmimas</t>
  </si>
  <si>
    <t>Patenkintų prašymų dalis nuo visų gautų prašymų</t>
  </si>
  <si>
    <t>001-01-01-39 (TP)</t>
  </si>
  <si>
    <t>Būsto nuomos ar išperkamosios būsto nuomos mokesčių dalies kompensacijų administravimas</t>
  </si>
  <si>
    <t>Asmenų (šeimų), kurioms mokama kompensacija, skaičius</t>
  </si>
  <si>
    <t>7,00</t>
  </si>
  <si>
    <t>001-01-01-41 (TP)</t>
  </si>
  <si>
    <t>Tarpinstitucinio bendradarbiavimo veiklos organizavimas</t>
  </si>
  <si>
    <t>Koordinuotai suteiktos  švietimo pagalbos, socialinės ir sveikatos priežiūros paslaugos vaikams ir jų tėvams (globėjams)</t>
  </si>
  <si>
    <t>001-01-01-42 (TP)</t>
  </si>
  <si>
    <t>Erdvinių duomenų rinkinio tvarkymas</t>
  </si>
  <si>
    <t>Topografinių ir inžinerinių planų integravimas</t>
  </si>
  <si>
    <t>001-01-01-43 (TP)</t>
  </si>
  <si>
    <t>Akredituotos vaikų dienos socialinės priežiūros administravimo organizavimas</t>
  </si>
  <si>
    <t>Administravimui skirtų lėšų dalis nuo gautų valstybės biudžeto lėšų</t>
  </si>
  <si>
    <t>001-01-01-44 (TP)</t>
  </si>
  <si>
    <t>Piniginės paramos ir kitos finansinės paramos organizavimo humanitariniais tikslais administravimas</t>
  </si>
  <si>
    <t>Išlaidų dalis nuo išmokoms išmokėti skirtų lėšų</t>
  </si>
  <si>
    <t>001-01-01-45 (TP)</t>
  </si>
  <si>
    <t>Socialinės reabilitacijos neįgaliesiems bendruomenėje organizavimas</t>
  </si>
  <si>
    <t>Išlaidų dalis nuo paslaugoms organizuoti skirtų lėšų</t>
  </si>
  <si>
    <t>001-01-01-46 (TP)</t>
  </si>
  <si>
    <t>Savivaldybei priskirtos ir perduotos valstybinės žemės miestų ir miestelių administracinėse ribose valdymui, naudojimui ir disponavimui ja patikėjimo teise užtikrinimas</t>
  </si>
  <si>
    <t>Išduota sutikimų patikėjimo teise valdomoje valstybinėje žemėje</t>
  </si>
  <si>
    <t>Sudarytos valstybinės žemės nuomos ir panaudos sutartys</t>
  </si>
  <si>
    <t>Nepertraukiamas funkcijos įgyvendinimas</t>
  </si>
  <si>
    <t>001-01-01-47 (TP)</t>
  </si>
  <si>
    <t>Asmenų su negalia reikalų koordinavimo funkcijos atlikimas</t>
  </si>
  <si>
    <t>001-01-02 (T)</t>
  </si>
  <si>
    <t>Įvykdyti prisiimtus įsipareigojimus bei sudaryti galimybę finansuoti iš anksto negalimas suplanuoti išlaidas</t>
  </si>
  <si>
    <t>001-01-02-01 (TP)</t>
  </si>
  <si>
    <t>Paskolų grąžinimas ir palūkanų mokėjimas</t>
  </si>
  <si>
    <t>Paskolų skaičius</t>
  </si>
  <si>
    <t>Savivaldybės skolinimasis (nuo Savivaldybės biudžeto)</t>
  </si>
  <si>
    <t>001-01-02-03 (TP)</t>
  </si>
  <si>
    <t>Įvykių, kuriems skirtas finansavimas, skaičius</t>
  </si>
  <si>
    <t>001-01-03 (T)</t>
  </si>
  <si>
    <t>Užtikrinti efektyvų savivaldybei nuosavybės teise priklausančio turto valdymą bei naudojimą</t>
  </si>
  <si>
    <t>001-01-03-01 (TP)</t>
  </si>
  <si>
    <t>Telšių rajono savivaldybės nekilnojamojo turto (pastatų, žemės sklypų, inžinerinių statinių) kadastriniai matavimai,  teisinė registracija, pardavimas viešo aukciono būdu, draudimas bei kitų dokumentų parengimas</t>
  </si>
  <si>
    <t>Apdraustų savivaldybei nuosavybės teise priklausančių nekilnojamojo turto objektų skaičius</t>
  </si>
  <si>
    <t>248,00</t>
  </si>
  <si>
    <t>Atliktų nekilnojamojo turto pardavimų ir / ar pirkimų bei vertinimų skaičius</t>
  </si>
  <si>
    <t>Nekilnojamojo turto kadastro duomenų nustatymas / tikslinimas, šių duomenų įregistravimo valstybės registruose</t>
  </si>
  <si>
    <t>Žemės sklypų kadastro duomenų nustatytmas ir / ar tikslinimas, šių duomenų įregistravimas valstybės registruose</t>
  </si>
  <si>
    <t>001-01-03-05 (TP)</t>
  </si>
  <si>
    <t>Savivaldybės įstaigų energetikos ūkio priežiūra</t>
  </si>
  <si>
    <t>Prižiūrimų įstaigų plotas</t>
  </si>
  <si>
    <t>m 2</t>
  </si>
  <si>
    <t>150.617,00</t>
  </si>
  <si>
    <t>001-01-03-06 (TP)</t>
  </si>
  <si>
    <t>Žemės sklypų ir kito turto įsigijimas visuomenės poreikiams</t>
  </si>
  <si>
    <t>Savivaldybės nuosavybėn įsigyto nekilnojamojo turto, žemės sklypų skaičius</t>
  </si>
  <si>
    <t>001-01-03-07 (TE)</t>
  </si>
  <si>
    <t>Projekto „Dalies Žarėnų „Minijos“ pagrindinės mokyklos ūkinio pastato rekonstrukcija, įrengiant priešgaisrinės tarnybos patalpas taip pritaikant bendruomenės poreikiams“ įgyvendinimas</t>
  </si>
  <si>
    <t>Apdraustas pastatas</t>
  </si>
  <si>
    <t>001-01-04 (T)</t>
  </si>
  <si>
    <t>Kryptingai planuoti ir valdyti savivaldybės teritorinę, ekonominę ir socialinę plėtrą</t>
  </si>
  <si>
    <t>001-01-04-12 (TP)</t>
  </si>
  <si>
    <t>Teritorijų planavimo dokumentų rengimas pagal poreikį ir bendrųjų planų sprendinių įgyvendinimo programos ir stebėsenos išvadų parengimas</t>
  </si>
  <si>
    <t>Parengti teritorijų planavimo dokumentai</t>
  </si>
  <si>
    <t>Parengti topografiniai planai (su inžineriniais tinklais)</t>
  </si>
  <si>
    <t>001-01-04-15 (TP)</t>
  </si>
  <si>
    <t>Žemės sklypų formavimo ir pertvarkymo projektų rengimas ir vidutinės rinkos vertės apskaičiavimas pagal poreikį</t>
  </si>
  <si>
    <t>Parengti žemės sklypų formavimo ir pertvarkymo projektai</t>
  </si>
  <si>
    <t>001-01-04-27 (TP)</t>
  </si>
  <si>
    <t>Projektų planavimas, rengimas ir vykdymas, investicinių projektų, galimybių studijų rengimas, tyrimų atlikimas</t>
  </si>
  <si>
    <t>Parengti projektai, investiciniai projektai, galimybių studijos</t>
  </si>
  <si>
    <t>001-01-05 (T)</t>
  </si>
  <si>
    <t>Didinti savivaldybės institucijų veiklos efektyvumą</t>
  </si>
  <si>
    <t>001-01-05-05 (TP)</t>
  </si>
  <si>
    <t>Savivaldybės administracijos ir savivaldybės biudžetinių įstaigų centralizuotas aprūpinimas kompiuterine ir programine įranga bei metodine medžiaga</t>
  </si>
  <si>
    <t>Įdiegta informacinių sistemų, programinių modulių skaičius</t>
  </si>
  <si>
    <t>Administracijos ir Savivaldybės biudžetinių įstaigų centralizuotas aprūpinimas kompiuterine įranga (įsigytos įrangos skaičius)</t>
  </si>
  <si>
    <t>Atnaujintų elektroninių paslaugų skaičius</t>
  </si>
  <si>
    <t>001-01-05-07 (TP)</t>
  </si>
  <si>
    <t>Savivaldybės atstovavimas asocijuotose struktūrose</t>
  </si>
  <si>
    <t>Metinis nario mokestis</t>
  </si>
  <si>
    <t>23.600,00</t>
  </si>
  <si>
    <t>001-01-05-08 (TP)</t>
  </si>
  <si>
    <t>Bendradarbiavimo su valstybinėmis ir savivaldos institucijomis bei miestais partneriais užmezgimas ir palaikymas</t>
  </si>
  <si>
    <t>Suorganizuoti susitikimai, vizitai pagal poreikį</t>
  </si>
  <si>
    <t>001-01-05-10 (TN)</t>
  </si>
  <si>
    <t>Administracinės naštos mažinimas, antikorupcijos ir nediskiminavimo priemonių stiprinimas</t>
  </si>
  <si>
    <t>Telšių rajono savivaldybės tarybos priimtų, pakeistų, pripažintų netekusiais galios, siekiant mažinti administracinę naštą, teisės aktų skaičius</t>
  </si>
  <si>
    <t>Telšių rajono savivaldybės administracijos direktoriaus priimtų, pakeistų, pripažintų netekusiais galios, siekiant mažinti administracinę naštą, teisės aktų skaičius</t>
  </si>
  <si>
    <t>Įdiegta naujų ir patobulinta veikiančių informacinių sistemų</t>
  </si>
  <si>
    <t>Dokumentų valdymo sistemoje elektroniniu parašu pasirašytų siunčiamų dokumentų dalis nuo visų užregistruotų siunčiamų dokumentų skaičiaus</t>
  </si>
  <si>
    <t>Įgyvendintų Telšių rajono savivaldybės korupcijos prevencijos veiksmų plane esančių priemonių skaičius</t>
  </si>
  <si>
    <t>Parengtų Telšių rajono savivaldybės teisės aktų projektų, įvertintų antikorupciniu požiūriu, skaičius</t>
  </si>
  <si>
    <t>Korupcijos prevencijos temomis suorganizuotų mokymų darbuotojams skaičius</t>
  </si>
  <si>
    <t>Telšių rajono savivaldybės mero priimtų, pakeistų, pripažintų netekusiais galios, siekiant mažinti administracinę naštą, teisės aktų skaičius</t>
  </si>
  <si>
    <t>Lygių galimybių 2025–2028 metų veiksmų plano įgyvendinimas</t>
  </si>
  <si>
    <t>001-01-05-12 (TE)</t>
  </si>
  <si>
    <t>Dalyvaujamojo biudžeto įgyvendinimas</t>
  </si>
  <si>
    <t>Už pateiktas projektų idėjas balsavusių asmenų skaičius</t>
  </si>
  <si>
    <t>Lėšų suma, skirta gyventojų projektų idėjoms įgyvendinti</t>
  </si>
  <si>
    <t>40.000,00</t>
  </si>
  <si>
    <t>Įgyvendintų projektų idėjų skaičius</t>
  </si>
  <si>
    <t>001-01-06 (T)</t>
  </si>
  <si>
    <t>Gerinti savivaldybės administracijos pastatų materialinę bazę</t>
  </si>
  <si>
    <t>001-01-06-03 (TP)</t>
  </si>
  <si>
    <t>Savivaldybei priklausančių pastatų avarinės būklės likvidavimas ir remonto darbai</t>
  </si>
  <si>
    <t>Įgyvendinta remonto darbų projektų</t>
  </si>
  <si>
    <t>Savivaldybės biudžetas (įskaitant skolintas lėšas)</t>
  </si>
  <si>
    <t>Savivaldybės biudžeto lėšos (nuosavos, be ankstesnių metų likučio)</t>
  </si>
  <si>
    <t>Savivaldybės biudžeto lėšos</t>
  </si>
  <si>
    <t>Valstybės biudžetas (žemės realizavimo lėšos)</t>
  </si>
  <si>
    <t>Lietuvos Respublikos valstybės biudžeto dotacijos</t>
  </si>
  <si>
    <t>Valstybės biudžeto (Kita tikslinė dotacija) lėšos</t>
  </si>
  <si>
    <t>Specialiosios dotacijos valstybinėms (valstybės perduotoms savivaldybėms) funkcijoms atlikti lėšos</t>
  </si>
  <si>
    <t>Pajamų įmokos ir kitos pajamos</t>
  </si>
  <si>
    <t>Įstaigų pajamų lėšos</t>
  </si>
  <si>
    <t>Ankstesnių metų likučiai</t>
  </si>
  <si>
    <t>Įstaigos pajamų apyvartos lėšų likučių lėšos</t>
  </si>
  <si>
    <t>Žemės realizavimo apyvartinės lėšos</t>
  </si>
  <si>
    <t>Kiti šaltiniai (Europos Sąjungos finansinė parama projektams įgyvendinti ir kitos teisėtai gautos lėšos, nurodant atskirus šaltinius)</t>
  </si>
  <si>
    <t>Europos Sąjungos paramos lėšos</t>
  </si>
  <si>
    <t>Valstybės biudžeto lėšos</t>
  </si>
  <si>
    <t>IŠ VISO programai finansuoti pagal finansavimo šaltinius:</t>
  </si>
  <si>
    <t>2025 metų 001 Savivaldybės valdymo programos įvykdymo ataskaita</t>
  </si>
  <si>
    <t>Savivaldybės tarybos priimtų sprendimų nuo parengtų spredimų dalis</t>
  </si>
  <si>
    <t>Gyventojų vertinimas dėl savivaldybės institucijų darbo (10 balų sistemoje)</t>
  </si>
  <si>
    <t>balai</t>
  </si>
  <si>
    <t>Savivaldybei priklausiančių pastatų kasmet pagerintos būklės dalis nuo visų priklausančių pastatų</t>
  </si>
  <si>
    <t xml:space="preserve">Gautų raštų, į kuriuos atsakyta laiku nustatytais terminais, dalis </t>
  </si>
  <si>
    <t>Savivaldybės administracijos darbuotojų, dalyvavusių kvalifikacijos kėlimo kursuose, skaičius (proc. nuo visų dirbančiųjų)</t>
  </si>
  <si>
    <t>Baigtų įgyvendinti investicinių projektų skaičius</t>
  </si>
  <si>
    <t>Savivaldybei nuosavybės teise priklausančio, savivaldybės funkcijoms vykdyti nereikalingo turto nuoma ir / ar pardavimas (procentas nuo savivaldybei nuosavybės teise priklausančio turto)</t>
  </si>
  <si>
    <t>Grąžintos paskolos bei sumokėtos skolos pagal pasirašytas sutartis</t>
  </si>
  <si>
    <t>Programos uždavinio, priemonės kodas ir požymis</t>
  </si>
  <si>
    <t>Įvykdymas procentais</t>
  </si>
  <si>
    <t>Rezultato / Produkto</t>
  </si>
  <si>
    <t>Faktas</t>
  </si>
  <si>
    <t>2025 metų asignavimų ir kitų lėšų patvirtintas planas (Eur)</t>
  </si>
  <si>
    <t>2025 metų asignavimų ir kitų lėšų patikslintas planas (Eur)</t>
  </si>
  <si>
    <t>2025 metų asignavimų ir kitų lėšų įvykdymas (Eur)</t>
  </si>
  <si>
    <t>2025 m.</t>
  </si>
  <si>
    <t>Negalimų iš anksto numatyti priemonių vykdymas (mero rezervas)</t>
  </si>
  <si>
    <t>Išduotų gyvenamosios vietos deklaracijų skaičius</t>
  </si>
  <si>
    <t>Modernizuotų slėptuvių, kolektyvinės apsaugos statinių ir priedangų skaičius</t>
  </si>
  <si>
    <t xml:space="preserve">ĮVYKDYMO  ATASKAITA </t>
  </si>
  <si>
    <r>
      <rPr>
        <b/>
        <sz val="12"/>
        <color indexed="8"/>
        <rFont val="Times New Roman"/>
        <family val="1"/>
        <charset val="186"/>
      </rPr>
      <t>Programos koordinatorius:</t>
    </r>
    <r>
      <rPr>
        <sz val="12"/>
        <color indexed="8"/>
        <rFont val="Times New Roman"/>
        <family val="1"/>
        <charset val="186"/>
      </rPr>
      <t xml:space="preserve"> Telšių rajono savivaldybės administracijos Finansų skyriaus vedėjo pavaduotoja Daiva Vaitkuvienė.</t>
    </r>
  </si>
  <si>
    <t>01 tikslas. Efektyviai, ekonomiškai, rezultatyviai ir teisėtai atstovauti  Telšių savivaldybės bendruomenės interesams.</t>
  </si>
  <si>
    <t>01 uždavinys. Sudaryti sąlygas savivaldybės funkcijoms įgyvendinti.</t>
  </si>
  <si>
    <t>02 uždavinys. Įvykdyti prisiimtus įsipareigojimus bei sudaryti galimybę finansuoti iš anksto negalimas suplanuoti išlaidas.</t>
  </si>
  <si>
    <t>03 uždavinys. Užtikrinti efektyvų savivaldybei nuosavybės teise priklausančio turto valdymą bei naudojimą.</t>
  </si>
  <si>
    <t>04 uždavinys. Kryptingai planuoti ir valdyti savivaldybės teritorinę, ekonominę ir socialinę plėtrą.</t>
  </si>
  <si>
    <t>05 uždavinys. Didinti savivaldybės institucijų veiklos efektyvumą.</t>
  </si>
  <si>
    <t>06 uždavinys. Gerinti savivaldybės administracijos pastatų materialinę bazę.</t>
  </si>
  <si>
    <t>Faktiškai įvykdyta</t>
  </si>
  <si>
    <t>Iš dalies įvykdyta</t>
  </si>
  <si>
    <t>Neįvykdyta</t>
  </si>
  <si>
    <t>2025 METŲ 001 SAVIVALDYBĖS VALDYMO PROGRAMOS</t>
  </si>
  <si>
    <t xml:space="preserve">Programoje 2025 m. numatyta: </t>
  </si>
  <si>
    <t>Savivaldybės taryba pritarė 92 proc. pateiktų Savivaldybės tarybos sprendimų projektų. Dalies Savivaldybės tarybos sprendimų projektų svarstymas atidėtas vėlesniam laikotarpiui, dalis sprendimų projektų koreguoti ir pan.</t>
  </si>
  <si>
    <t xml:space="preserve">Degaičių kapinėse laidojami ir Telšių miesto gyventojai. </t>
  </si>
  <si>
    <t>Vyresnio amžiaus gyventojų mirtingumas, jaunų šeimų emigracija, persikėlimas gyventi į didesnius miestus.</t>
  </si>
  <si>
    <t>Seniūnijos balanse esančių pastatų skaičius.</t>
  </si>
  <si>
    <t>Gauta mažiau gyventojų prašymų.</t>
  </si>
  <si>
    <t>Kreipėsi mažiau asmenų dėl leidimo žemės kasimo darbams išdavimo.</t>
  </si>
  <si>
    <t>Kreipėsi mažiau gyventojų.</t>
  </si>
  <si>
    <t>Notariniai veiksmai atliekami pagal poreikį.</t>
  </si>
  <si>
    <t>Leidimai išduodami pagal poreikį.</t>
  </si>
  <si>
    <t>Seniūnijos balanse esančių pastatų skaičius didesnis nei planuota, nes neparduotas vienas iš privatizuotinų pastatų.</t>
  </si>
  <si>
    <t>Gyventojų skaičius mažėja dėl neigiamos natūralios gyventojų skaičiaus kaitos.</t>
  </si>
  <si>
    <t>Kreipėsi mažiau interesantų.</t>
  </si>
  <si>
    <t>Mažėja gyventojų skaičius, sumažėjęs gimstamumas, augantis mirtingumas ir emigracija.</t>
  </si>
  <si>
    <t>Išduota pagal gautus prašymus.</t>
  </si>
  <si>
    <t>Padidėjo gimstamumas.</t>
  </si>
  <si>
    <t>Kreipėsi daugiau prekiautojų.</t>
  </si>
  <si>
    <t>Gyvenamosios vietos deklaracijos išduodamos pagal poreikį.</t>
  </si>
  <si>
    <t>Gyvenamosios vietos deklaracijos išduodamos pagal poreikį (kreipėsi mažiau gyventojų).</t>
  </si>
  <si>
    <t>Notariniai veiksmai atliekami pagal poreikį (kreipėsi daugiau gyventojų).</t>
  </si>
  <si>
    <t>Leidimai laidoti išduodami pagal poreikį.</t>
  </si>
  <si>
    <t>Leidimai prekybai, žemės kasimo darbams išduodami pagal pateiktus prašymus (gauta daugiau prašymų).</t>
  </si>
  <si>
    <t>Gyventojų skaičius sumažėjo dėl mirtingumo, gyvenamosios vietos keitimo, gimstamumo mažėjimo ir pan.</t>
  </si>
  <si>
    <t>Įstaigos iš gyventojų mažiau reikalauja pažymų  gyvenamosios vietos deklaracijos duomenims patvirtinti.</t>
  </si>
  <si>
    <t>Daugiau gyventojų deklaravo išvykimą, mažesnis gimstamumas.</t>
  </si>
  <si>
    <t>Išduotų leidimų laidoti skaičius sumažėjo dėl mirtingumo mažėjimo.</t>
  </si>
  <si>
    <t>Didesnis mirtingumas, daugiau gyventojų deklaravo išvykimą.</t>
  </si>
  <si>
    <t>Mažėjo gimstamumas.</t>
  </si>
  <si>
    <t>Buvo daugiau nei planuota prašymų.</t>
  </si>
  <si>
    <t>Organizuotas ir koordinuotas Nacionalinio diktanto I turas Telšių rajono savivaldybėje.</t>
  </si>
  <si>
    <t>Klaipėdos regioninio valstybės archyvo Telšių filialo specialistų sprendimu daliai dokumentų pratęstas saugojimo terminas iki 50 m. (nekilnojamojo turto pirkimo, pardavimo, nuomos sutartys, darbuotojų darbo laiko ir uždarbio apskaičiavimo žiniaraščiai ir kita).</t>
  </si>
  <si>
    <t>Pasikeitus SODROS pensijų skaičiavimo taisyklėms ir formulėms, gauta daugiau gyventojų prašymų.</t>
  </si>
  <si>
    <t>Darbo užmokesčio dalies dydį lėmė priemonei vykdyti skirti valstybės biudžeto asignavimai.</t>
  </si>
  <si>
    <t>Nuo 2023-01-18 buvo panaikintas civilinės saugos būklės patikrinimų tvarkos aprašas (TAR, 2023-01-17, Nr. 832), naujas tvarkos aprašas nepatvirtintas, todėl nebuvo vykdomi patikrinimai.</t>
  </si>
  <si>
    <t>Lėšos panaudotos įstatymų nustatyta tvarka. Administruoti skirtų lėšų panaudojimas priklauso nuo išmokėtų išmokų sumos (laidojimo pašalpų, palaikų pervežimo į Lietuvą išmokų).</t>
  </si>
  <si>
    <t>Lėšos panaudotos įstatymų nustatyta tvarka.</t>
  </si>
  <si>
    <t>Lėšų suma priklauso nuo išlaidų, patirtų suteikiant nemokamo moksleivių maitinimo paslaugas ir skirtų paramai mokinio reikmenims įsigyti.</t>
  </si>
  <si>
    <t>Kriepėsi mažiau pareiškėjų.</t>
  </si>
  <si>
    <t>Topografinių ir inžinerinių planų integravimas vykdytas pagal poreikį.</t>
  </si>
  <si>
    <t>Lėšos panaudotos įstatymų nustatyta tvarka. Skiriama procentinė lėšų dalis nuo paslaugai teikti skiriamų lėšų.</t>
  </si>
  <si>
    <t>Asmenų su negalia reikalų koordinavimo funkcijos atlikimui finansuoti tvarką nustato LR Socialinės apsaugos ir darbo ministras.</t>
  </si>
  <si>
    <t>Negauta prašymų dėl išlaidų, atsiradusių dėl ekstremaliosios situacijos, ekstremaliojo įvykio, gaisro, stichinės nelaimės ir kitų įvykių, taip pat dėl nepaprastosios padėties atsiradusioms išlaidoms iš dalies apmokėti ar jos padariniams šalinti, kompensavimo.</t>
  </si>
  <si>
    <t xml:space="preserve">Savivaldybių asociacijos nario mokesčio dydis – 0,03 proc. nuo Savivaldybės biudžeto asignavimų. </t>
  </si>
  <si>
    <t>Lėšos panaudotos pagal poreikį komandiruotėms, transportui, apgyvendinimui, maitinimui, gidų paslaugoms ir pan.</t>
  </si>
  <si>
    <t>Pagal Savivaldybėje nustatytą reglamentavimą Dokumentų valdymo sistemoje elektroniniu parašu pasirašomi visi siunčiamieji dokumentai, išskyrus kai kuriuos siunčiamus vidaus dokumentus, kurie pasirašomi sisteminiu parašu.</t>
  </si>
  <si>
    <t xml:space="preserve">Administruoti skirtų lėšų panaudojimas priklauso nuo išmokėtų išmokų. </t>
  </si>
  <si>
    <t>Kreipėsi daugiau gyventojų.</t>
  </si>
  <si>
    <t xml:space="preserve">Jaunimo poreikiams užtikrinti ir galimybėms plėsti įgyvendinta jaunimo vasaros užimtumo ir integracijos į darbo rinką programa (31 jaunuolis), mokinių dalyvaujamasis biuždetas (11 rajono mokyklų), 3 iniciatyvos jaunimo bendruomenės lyderystei stirpinti. </t>
  </si>
  <si>
    <t>Leidimai prekybai, žemės kasimo darbams išduodami pagal pateiktus prašymus (gauta mažiau prašymų).</t>
  </si>
  <si>
    <t>Balsavusių asmenų skaičius mažėjo, nes 2024 m. pakeistas Dalyvaujamojo biudžeto balsavimo procesas (Savivaldybės tarybos 2024 m. kovo 28 d. Nr. T1-86 „Dėl bendruomenės iniciatyvų projektų idėjų atrankos ir finansavimo tvarkos aprašo patvirtinimo“).</t>
  </si>
  <si>
    <t>Gyventojų skaičius nežymiai padidėjo.</t>
  </si>
  <si>
    <t>Paraiškų pateikta pagal poreikį. Kreipėsi daugiau pareiškėjų.</t>
  </si>
  <si>
    <t>Mažiau pareiškėjų keitė duomenis pasėlių deklaracijose.</t>
  </si>
  <si>
    <t>Neženkliai didėjo besikreipiančių asmenų skaičius.</t>
  </si>
  <si>
    <t xml:space="preserve">Pagal gyventojų prašymus patvirtintas dokumentų kopijų tikrumas ir įgaliojimas pensijai paimti. </t>
  </si>
  <si>
    <t>Padidėjus renginių skaičiui, didėjo ir išduotų leidimų prekybai skaičius.</t>
  </si>
  <si>
    <t>Notarinių veiksmų poreikis sumažėjo dėl asmens dokumentų kopijų tvirtinimo mažesnio poreikio.</t>
  </si>
  <si>
    <t>Išduodamų leidimų skaičius sumažėjo dėl atsiradiusio mažesnio leidimų išdavimo  poreikio.</t>
  </si>
  <si>
    <t>Gyventojų skaičius sumažėjo.</t>
  </si>
  <si>
    <t xml:space="preserve">Lietuvoje supaprastinus vardo ir pavardės keitimo procedūras, asmenys vis dažniau naudojasi teise keisti asmenvardžius dėl įvairių priežasčių. </t>
  </si>
  <si>
    <t>Neženkliai sumažėjo besituokiančių asmenų skaičius.</t>
  </si>
  <si>
    <t>Gyventojų skaičius sumažėjo dėl  gyvenamosios vietos keitimo ir mažo gimstamumo.</t>
  </si>
  <si>
    <t xml:space="preserve">Atlikti uždarųjų akcinių bendrovių, seniūnijų patikrinimai. </t>
  </si>
  <si>
    <t>Patikrinti laikraščiai „Telšių žinios“, Kalvotoji Žemaitija“, radijo stoties „XXL FM“ laidos.</t>
  </si>
  <si>
    <t>Visi prašymai buvo užpildyti tiksliai ir tinkamai.</t>
  </si>
  <si>
    <t>Kasmet kintantis įrašų skaičius.</t>
  </si>
  <si>
    <t>Kasmet kintantis įregistruotų civilinės būklės aktų įrašų skaičius.</t>
  </si>
  <si>
    <t>12 atvejų koordinuotai teikiama pagalba bei 48 vaikams paskirtas privalomas ikimokyklinis ugdymas, kol šeimai taikoma atvejo vadyba ir yra paskirtos socialinės priežiūros paslaugos.</t>
  </si>
  <si>
    <t>Per ataskaitinį laikotarpį atsakymai į gautus dokumentus buvo parengti ir pateikti laikantis teisės aktuose bei vidaus tvarkose nustatytų terminų.</t>
  </si>
  <si>
    <t>Atvyko daugiau žemės ūkio technikos savininkų. Vykdoma didesnė kontrolė.</t>
  </si>
  <si>
    <t xml:space="preserve">Kreipėsi mažiau gyventojų. </t>
  </si>
  <si>
    <t xml:space="preserve">Gauta mažiau gyventojų prašymų. </t>
  </si>
  <si>
    <t>Nebuvo skirta lėšų paramai humanitariniais tikslais, todėl nebuvo ir administravimo išlaidų.</t>
  </si>
  <si>
    <t>Gyventojų apklausa buvo atlikta 2021 metais, rengiant Savivaldybės strateginį plėtros planą. 2025 m. gyventojų apklausa nebuvo vykdoma. Apklausą planuojama surengti 2026 metais.</t>
  </si>
  <si>
    <t>Vykdoma pagal pateiktus prašymus.</t>
  </si>
  <si>
    <t>Padidėjo apdraustų socialinių būstų skaičius.</t>
  </si>
  <si>
    <t>Įgyvendinta daugiau, bet mažesnės apimties remonto darbų projektų. Lėšos panaudotos pagal poreikį, laikantis viešųjų pirkimų procedūrų.</t>
  </si>
  <si>
    <t>2025 m buvo organizuojami vidiniai mokymai, kuriuose dalyvavo dauguma savivaldybės darbuotojų.</t>
  </si>
  <si>
    <t>Programą vykdė: Telšių rajono savivaldybės taryba, Telšių rajono savivaldybės Kontrolės ir audito tarnyba, Telšių rajono savivaldybės administracijos (toliau – Administracija) Statybos ir urbanistikos skyrius, Administracijos Architektūros ir paveldosaugos skyrius, Administracijos Ekonomikos ir turto valdymo skyrius, Administracijos Socialinės paramos ir rūpybos skyrius, Administracijos Buhalterinės apskaitos skyrius, Administracijos Finansų skyrius, Administracijos Teisės, personalo ir civilinės metrikacijos skyrius, Administracijos Strateginio planavimo ir investicijų skyrius, Administracijos Kaimo plėtros skyrius, Administracijos Degaičių seniūnija, Administracijos Gadūnavo seniūnija, Administracijos Luokės seniūnija, Administracijos Nevarėnų seniūnija, Administracijos Ryškėnų seniūnija, Administracijos Tryškių seniūnija, Administracijos Upynos seniūnija, Administracijos Varnių seniūnija, Administracijos Viešvėnų seniūnija, Administracijos Žarėnų seniūnija, Administracijos Telšių miesto seniūnija.</t>
  </si>
  <si>
    <t xml:space="preserve">Priešgaisrinės apsaugos ir gelbėjimo departamentas prie Vidaus reikalų ministerijos įgyvendina projektą Nr. 11-007-P-0001 „Gyventojų perspėjimo ir informavimo infrastruktūros plėtra Vidurio ir Vakarų Lietuvos regione“. Projektą planuojama įgyvendinti 2026 metais. </t>
  </si>
  <si>
    <t>2025 m. įgyvendintas projektas „Bendruomeninių apgyvendinimo bei užimtumo paslaugų su proto ir psichikos negalia plėtra Telšių rajone“.</t>
  </si>
  <si>
    <t xml:space="preserve">Parengta pagal poreikį. </t>
  </si>
  <si>
    <t>2025 m. atsižvelgiant į poreikį, parengti 5 projektai. 2025 m. suformuota 11 žemės sklypų. LRVB (ŽR) lėšos gali būti naudojamos tik Savivaldybės tarybos 2016-11-24 sprendimu Nr.T1-385 „Dėl lėšų, gautų už parduotus valstybinės žemės sklypus, naudojimo ir apskaitos tvarkos aprašo patvirtinimo“ nustatytiems tikslams. Panaudota pagal poreikį ir galimybes.</t>
  </si>
  <si>
    <t>Išvados teikiamos vadovaujantis LR Vietos savivaldos įstatymo 67 str. Kiekvienais metais iki gegužės 15 dienos rengiama ir reglamento nustatyta tvarka pateikiama Savivaldybės tarybai išvada dėl pateikto tvirtinti Savivaldybės metinių ataskaitų rinkinio, Savivaldybės biudžeto ir turto naudojimo. Kitos išvados teikiamos pagal poreikį dėl Savivaldybės prisiimamų įsipareigojimų pagal paskolų, finansinės nuomos (lizingo) ir kitų įsipareigojamųjų skolos dokumentų sutartis, garantijų suteikimo kreditoriams už Savivaldybės valdomų įmonių prisiimamus įsipareigojimus pagal paskolų, finansinės nuomos (lizingo) ir kitų įsipareigojamųjų skolos dokumentų sutartis.</t>
  </si>
  <si>
    <t>Nepanaudota 7731,56 Eur, iš jų: darbo užmokesčiui ir soc. draudimui (atostogos, nedarbingumas) – 1495,00 Eur, sutaupyta Savivaldybės mero fondo lėšų – 4138,32 Eur, prekėms ir paslaugoms – 1967,08 Eur, tranpsorto priemonėms išlaikyti – 788,59 Eur.</t>
  </si>
  <si>
    <t>1.349,00</t>
  </si>
  <si>
    <t>1.050,00</t>
  </si>
  <si>
    <t>1.247,00</t>
  </si>
  <si>
    <t>Viršytas planas dėl padidėjusio likviduojamų įmonių skaičiaus.</t>
  </si>
  <si>
    <r>
      <rPr>
        <sz val="11"/>
        <color theme="1"/>
        <rFont val="Times New Roman"/>
        <family val="1"/>
        <charset val="186"/>
      </rPr>
      <t xml:space="preserve">Paskelbtos publikacijos Telšių rajono savivaldybės svetainėje telsiai.lt: „Kovo 7 d. penkioliktą kartą kviečia Nacionalinis diktantas“, „Telšiškė – vėl tarp raštingiausių Lietuvos suaugusiųjų“.  </t>
    </r>
    <r>
      <rPr>
        <sz val="11"/>
        <color rgb="FFFF0000"/>
        <rFont val="Times New Roman"/>
        <family val="1"/>
        <charset val="186"/>
      </rPr>
      <t xml:space="preserve">
</t>
    </r>
    <r>
      <rPr>
        <sz val="11"/>
        <color theme="1"/>
        <rFont val="Times New Roman"/>
        <family val="1"/>
        <charset val="186"/>
      </rPr>
      <t xml:space="preserve">Parengtos atmintinės Telšių rajono savivaldybės svetainėje telsiai.lt: „Giminės ir skaičiaus derinimas“, „Metų eigoje“, „Neregistruoti pavadinimai iškabose“. </t>
    </r>
    <r>
      <rPr>
        <sz val="11"/>
        <color rgb="FFFF0000"/>
        <rFont val="Times New Roman"/>
        <family val="1"/>
        <charset val="186"/>
      </rPr>
      <t xml:space="preserve">
</t>
    </r>
    <r>
      <rPr>
        <sz val="11"/>
        <color theme="1"/>
        <rFont val="Times New Roman"/>
        <family val="1"/>
        <charset val="186"/>
      </rPr>
      <t>Paskelbtas pranešimas apie Nacionalinį diktantą socialinio tinklo Facebook paskyroje „Telšių rajono savivaldybė“</t>
    </r>
    <r>
      <rPr>
        <sz val="11"/>
        <color rgb="FFFF0000"/>
        <rFont val="Times New Roman"/>
        <family val="1"/>
        <charset val="186"/>
      </rPr>
      <t>.</t>
    </r>
  </si>
  <si>
    <t>2.024,00</t>
  </si>
  <si>
    <t>1.664,00</t>
  </si>
  <si>
    <t>2.854,00</t>
  </si>
  <si>
    <t>Lėšos naudojamos pagal Lietuvos Respublikos socialinės apsaugos ir darbo ministro patvirtintą valstybinėms (perduotoms savivaldybėms) funkcijoms atlikti skirtų lėšų apskaičiavimo metodiką. Procentinė dalis sumažinta teisės aktų nustatyta tvarka.</t>
  </si>
  <si>
    <t>2.838,00</t>
  </si>
  <si>
    <t>3.560,00</t>
  </si>
  <si>
    <t>2.098,00</t>
  </si>
  <si>
    <t>3.715,00</t>
  </si>
  <si>
    <t>147.181,60</t>
  </si>
  <si>
    <t>Prižiūrimų įstaigų pastatų plotas kinta dėl parduodamų arba nuomuojamų patalpų. 2025-09-02 buvo sudaryta 36 mėn. galiojanti Energetikos ūkio priežiūros paslaugų sutartis su UAB „Telšių butų ūkis“.</t>
  </si>
  <si>
    <t>23.800,00</t>
  </si>
  <si>
    <t>Dokumentų valdymo informacinės sistemos „Savitarnos“ modulis papildytas naujomis formomis. Atnaujintos savivaldybių licencijų VIISP prašymų formos,
(https://www.epaslaugos.lt/portal/). Atliktas Savivaldybės administracijos Socialinės paramos ir rūpybos skyriaus klientų eilių valdymo sistemos „LEYLINE“ įrangos atnaujinimas, pritaikant klientams patogesnį sprendimą. Atlikta DVS (11 Savivaldybės administracijos seniūnijų ir 42 Savivaldybės biudžetinėse įstaigose) sąsaja su Sąskaitų administravimo bendrąja informacine sistema (SABIS).</t>
  </si>
  <si>
    <t>Pakeistas 1 teisės aktas. Daugiau priimti, pakeisti, pripažinti netekusiais galios teisės aktų nebuvo teisinio pagrindo.</t>
  </si>
  <si>
    <t>Telšių rajono savivaldybės administracijos lygių galimybių 2025–2027 metų veiksmai įgyvendinami pagal patvirtintą paną.</t>
  </si>
  <si>
    <t>1.206,00</t>
  </si>
  <si>
    <r>
      <t xml:space="preserve">2025 m. planuota įvykdyti 54 priemones (kurioms skirti / panaudoti asignavimai): </t>
    </r>
    <r>
      <rPr>
        <b/>
        <sz val="12"/>
        <rFont val="Times New Roman"/>
        <family val="1"/>
        <charset val="186"/>
      </rPr>
      <t>15 209 949,01 Eur / 14 656 194,91 Eur</t>
    </r>
    <r>
      <rPr>
        <sz val="12"/>
        <rFont val="Times New Roman"/>
        <family val="1"/>
        <charset val="186"/>
      </rPr>
      <t>;</t>
    </r>
  </si>
  <si>
    <t>N. d.</t>
  </si>
  <si>
    <t>2.820,00</t>
  </si>
  <si>
    <t>Savivaldybės mobilizacijos planą patvirtino Administracijos direktorius 2025 m. rugsėjo 4 d., vadovaudamasis Lietuvos Respublikos valstybės ir tarnybos paslapčių įstatymu.</t>
  </si>
  <si>
    <t>Dėl ilgų žemės sklypų perdavimo procedūrų buvo mažiau organizuota viešų aukcionų</t>
  </si>
  <si>
    <t>Programos, tikslo, uždavinio, priemonės pavadinimas, finansavimo šaltiniai</t>
  </si>
  <si>
    <t xml:space="preserve">Nukrypimų nuo plano priežastys, komentarai </t>
  </si>
  <si>
    <t>Pakeisti 3 teisės aktai. Daugiau priimti, pakeisti, pripažinti netekusiais galios teisės aktų nebuvo teisinio pagrindo.</t>
  </si>
  <si>
    <t>Vienam darbuotojui tenkančios išlaidos darbo vietai išlaikyti didesnės 3,4 proc. 2025 m., pasirašius naują paslaugos pirkimo sutartį, dvigubai pabrango patalpų valymo paslaugos: 2025 m. - 44,3 tūkst. Eur (2024 m. - 22,3), išaugo prekių, paslaugų kainos: kanceliarinių prekių, biuro įrangos ir pan.</t>
  </si>
  <si>
    <t>2.223,01</t>
  </si>
  <si>
    <t>Savivaldybės skolinimosi limitas – 52150,5 tūkst. Eur (60 proc. savivaldybės biudžeto pajamų iš gyventojų pajamų mokesčio ir paskutinių pasibaigusių metų savivaldybės biudžeto gautų pajamų, išskyrus iš gyventojų pajamų mokesčio gautas pajamas, valstybės biudžeto dotacijas ir Europos Sąjungos ir kitą tarptautinę finansinę paramą, sumos). 2025 m. sausio 1 d. skolos likutis buvo 9491,3 tūkst. Eur.  2025 m. Savivaldybės taryba leido skolintis 3345,4 tūkst. Eur. Per 2025 m. paimta paskolų –1901,1 tūkst. Eur, dengta paskolų – 3047,2 tūkst. Eur. Dengta paskolų daugiau negu paimta – 1146,1 tūkst. Eur. 2025 m. skolinimosi limitas panaudotas 16 proc. ir skola 2025 m. pabaigoje sudarė 8345,2 tūkst. Eur. Paimta paskolų mažiau, nes investicinių projektų  finansavimas perkeltas į 2026 metus.</t>
  </si>
  <si>
    <t>Įvertinta 20 sklypų, reikalingų Pramonės parkui steigti. Taip pat vertinti kiti nekilnojamojo turto objektai, kurie reikalingi atliekant pirkimo arba pardavimo viešame aukcione procedūras.</t>
  </si>
  <si>
    <t>Lėšos panaudotos pagal poreikį, laikantis viešųjų pirkimų procedūrų. Atliktos IS „Centralizuoto vaikų ir mokinių priėmimo į Telšių rajono savivaldybės mokyklas informacinės sistemos (CEPIS)“ duomenų integracijos su Neįgalumo registru, Pedagogų registru ir kt.
Atlikta platformos „Mano konkursas“ integracija su SABIS, įskaitant sąskaitų modulį, Savivaldybei priklausančioms įstaigoms.</t>
  </si>
  <si>
    <t>Iš Savivaldybės biudžeto lėšų įsigyta 42 vnt. personalinių kompiuterių, iš jų: Buhalterinės apskaitos skyriui – 16 vnt., Finansų skyriui – 8 vnt., Statybos ir urbanistikos skyriui – 11 vnt., Architektūros ir paveldosaugos skyriui – 5 vnt., Strateginio planavimo ir investicijų skyriui – 2 vnt.</t>
  </si>
  <si>
    <t>Tarnyba iš viso pateikė 60 rekomendacijų. Audituoti subjektai įgyvendino 40 rekomendacijų, tai sudaro 66,7 proc. Iš jų 18 rekomendacijų įgyvendinimo stebėsena tęsiama (šių rekomendacijų įgyvendinimo terminas nesuėjęs, jos vykdomos pagal numatytus terminus), 2 rekomendacijos prarado aktualumą.</t>
  </si>
  <si>
    <t>Etatų skaičius nurodomas išvedus metinį vidurkį, nes etatų skaičius kito metų eigoje. Administracijos direktoriaus 2025-01-30 įsakymu Nr. A1-133 patvirtinta Administracijos struktūra, kurią įgyvendinant etatų skaičius padidėjo (+ 6). Taip pat didėjo iš Savivaldybės biudžeto lėšų išlaikomų etatų skaičius dėl nepakankamo finansavimo Savivaldybei priskirtoms valstybės funkcijoms vykdyti: globai asmenims su sunkia negalia administruoti (001-01-01-28), tikslinėms kompensacijos administruoti, dalyvauti vertinant asmens savarankiškumą kasdieninėje veikloje (001-01-01-33), socialinei reabilitacijai neįgaliesiems bendruomenėje organizuoti (001-01-01-45), Savivaldybėms priskirtų archyvinių dokumentų tvarkymui organizuoti (001-01-01-18), pirminės teisinės pagalbos teikimui organizuoti (001-01-01-20), Savivaldybei priskirtos ir perduotos valstybinės žemės miestų ir miestelių administracinėse ribose valdymui, naudojimui ir disponavimui ja patikėjimo teise užtikrinti (001-01-01-46), tarpinstitucinio bendradarbiavimo veiklai organizuoti (001-01-01-41), erdvinių duomenų rinkiniui tvarkyti (001-01-01-42). Darbuotojams, vykdantiems šias funkcijas, dalis darbo užmokesčio buvo mokėta iš Savivaldybės biudžeto lėšų. Sunaudota mažiau, nei planuota, lėšų darbo užmokesčiui ir soc. draudimui (nedarbingumas, atostogos, darbuotojų kaita) – 12629,31 Eur, kitoms prekėms ir paslaugoms įsigyti – 77517,79 Eur, kvalifikacijai kelti – 440,86 Eur, reprezentacinėms išlaidoms – 357,44 Eur, darbdavių soc. paramai pinigais – 3415,39 Eur.</t>
  </si>
  <si>
    <t>Gauta daugiau prašymų, nei planuota.</t>
  </si>
  <si>
    <t>Kreipėsi daugiau gyventojų, nei planuota.</t>
  </si>
  <si>
    <t>Dalis, dažniausiai vyresnio amžiaus, gyventojų neturi prieigos prie el. valdžios vartų arba neturi reikiamų įgūdžių elektroniniu būdu pateikti prašymus suteikti paslaugas.</t>
  </si>
  <si>
    <t>Lietuvos vyriausio archyvaro tarnybos nurodymu pasikeitus juridinius faktus patvirtinančių dokumentų skaičiavimui (kiekviena padaryta dokumento kopija kaip atskiras vienetas), ženkliai padidėjo išduodamų vienetų skaičius.</t>
  </si>
  <si>
    <t>Gyventojai dėl patogumo, elektroninių priemonių ir įgūdžių trūkumo vis dar renkasi deklaruoti gyvenamąją vietą atvykę į įstaigą.</t>
  </si>
  <si>
    <t>SB (VB) lėšos (40,7 tūkst. Eur) panaudotos 100 proc. Nepanaudota 31,8 tūkst. Eur Savivaldybės biudžeto lėšų, kurios buvo planuotos Ekstremalių situacijų operacijų centro patalpoms, darbo vietoms ir IT sprendimams modernizuoti. Lėšos nepanaudotos, nes nebuvo gautas Kertinio valstybės telekomunikacijų centro leidimas įrengti saugiojo tinklo prieigą.</t>
  </si>
  <si>
    <t xml:space="preserve">Nuo 2025 m. savivaldybės administracija dalyvauja Valstybės gynybos fondo lėšomis finansuojamoje Civilinės saugos stiprinimo programos pažangos priemonės Nr. 07-019-10-04-01 „Stiprinti pasirengimą valdyti krizes ir ekstremaliąsias situacijas ir šalinti jų padarinius“ veikloje „Priedangų infrastruktūros plėtra“, įgyvendinamas projektas Nr. VRM-001-K-016 „Telšių rajono savivaldybės priedangų infrastruktūros atsparumo ir prieinamumo didinimas“, kurio įgyvendinimo metu parinktose šešių įstaigų (švietimo, socialinės globos ir kt.) priedangose bus užtikrinta galimybė riboto judumo asmenims patekti į priedangas, įrengtos langus nuo smūgio bangos ir (ar) nuo stiklo šukių apsaugančios priemonės, įrengti autonominiai dūmų signalizatoriai, įrengti rezerviniai elektros energijos šaltiniai (elektros generatoriai). </t>
  </si>
  <si>
    <t>Lėšų suma priklauso nuo vaikams skirtų išmokų dydžio (besimokančių vaikų priežiūros išmokos, išmokos už vaikų, paimtų iš šeimos, priežiūrą ir laikiną apgyvendinimą).</t>
  </si>
  <si>
    <t>Kreipėsi mažiau žemės ūkio technikos savininkų. Buvo mažesnė parama iš ES fondų. Keliami aukštesni reikalavimai paramai gauti. Mažiau pirkta / parduota technikos.</t>
  </si>
  <si>
    <t xml:space="preserve">Lėšos panaudotos įvertinus seniūnaičių pateiktus pagrįstus prašymus išlaidoms, susijusioms su jų veikla, kompensuoti.  </t>
  </si>
  <si>
    <t>Pasikeitus Įstatymo nuostatoms daugiau šeimų įgijo teisę gauti paramą. Panaudoti  4 procentai lėšų, skiriamų būsto nuomos ar išperkamosios būsto nuomos mokesčio daliai kompensuoti. Lėšų paskirstymo, pervedimo, naudojimo tvarką nustato LR Socialinės apsaugos ir darbo ministras.</t>
  </si>
  <si>
    <t>Lėšos paskirstomos pagal sumas, skiriamas vaikų dienos centrams.</t>
  </si>
  <si>
    <t>Per 2025 metus išduoti 262 sutikimai (ir atsisakymai išduoti sutikimus) ir priimti sprendimai dėl Savivaldybės patikėjimo teise valdomos valstybinės žemės naudojimo, susijusio su statytojo teisės įgyvendinimu, susisiekimo komunikacijų, inžinerinių tinklų tiesimu, teritorijų, kuriose taikomos specialiosios žemės naudojimo sąlygos, nustatymu ir bendraturčio teisių įgyvendinimu.</t>
  </si>
  <si>
    <t>Didesnis, nei planuota, pareiškėjų skaičius.</t>
  </si>
  <si>
    <t>Dėl techninių kliūčių paskolų įmokos įskaitytos šių metų pirmąją dieną.</t>
  </si>
  <si>
    <t>Savivaldybės investicinių projektų vykdymui paimtų ir nebaigtų grąžinti paskolų skaičius. Paskolų skaičiaus bei paskolų grąžinimo ir palūkanų mokėjimo įvykdymo neatitikimas su 2025 m. planu susidarė dėl techninių kliūčių paskutinę metų dieną grąžinant AB Artea bankui  paskolos Nr. KS-2019-089-17 galutinę įmoką. Grąžinta įmokos suma įskaityta šių metų pirmąją dieną.</t>
  </si>
  <si>
    <t>Buvo sutvarkyti 47 vnt. nekilnojamojo turto registrų, tikslinami duomenys, įregistruoti ir išregistruoti nekilnojamojo turto objektai. Tikslinama pagal poreikį.</t>
  </si>
  <si>
    <t>Nupirktas butas Biržuvėnuose (Gorskių g. 5) ir žemės sklypas (Mitkaičių k.), kuris reikalingas savivaldybės statiniui (vietinės reikšmės keliui) eksploatuoti. Lėšos nepanaudotos, nes įsigyjant nekilnojamąjį turtą Biržuvėnuose notarinis sandoris buvo perkeltas ir sutartis pasirašyta 2026 m.</t>
  </si>
  <si>
    <t>Pastato draudimo išlaidos įsigytos už mažesnę kainą, negu planuota.</t>
  </si>
  <si>
    <t xml:space="preserve">2025 m. baigti rengti 2 teritorijų planavimo dokumentai. Nebaigtos 2 teritorijų planavimo dokumentų rengimo procedūros bus tęsiamos 2026 m., todėl nepanaudoti asignavimai. </t>
  </si>
  <si>
    <t>2025 m. parengtas 1 Telšių miesto šilumos ūkio investicijų projektas, atlikta 1 gyventojų apklausa apie savivaldybės įmonių teikiamų paslaugų kokybę, parengti 3 numatomų vystyti teritorijų projektai, dalyvaujant nacionaliniame architektūrinių ir urbanistinių idėjų konkurse „Išmanusis miestas 11“, parengta 19 projektų įgyvendinimo planų ir 5 investiciniai projektai, atliktas 1 mokslo paskirties pastato energijos vartojimo auditas, pakoreguota 1 pramonės parko galimybių studija. Kai kurios paslaugos įsigytos pigiau, nei planuota, todėl panaudota mažiau, nei planuota, lėšų.</t>
  </si>
  <si>
    <t>Pasikeitus kontaktams, teisės aktams ir aprašams, pagal poreikį devynioms elektroninėms paslaugoms buvo atlikti pakeitimai: licencijos verstis mažmenine prekyba su tabako gaminiais išdavimo, panaikinimo; leidimo organizuoti renginį išdavimas ir panaikinimas; leidimo prekiauti ir (ar) teikti paslaugas viešosiose vietose išdavimas; leidimo prekiauti ir (ar) teikti paslaugas renginio metu išdavimas; leidimo įrengti išorinę reklamą ar keisti spalvinį ar grafinį jos vaizdą savivaldybės teritorijoje išdavimas ir panaikinimas.</t>
  </si>
  <si>
    <t xml:space="preserve">LR Vyriausybė nepatvirtino atsparumo korupcijai lygio nustatymo metodikos, todėl atsparumo korupcijai lygis nenustatytas. Nebuvo gauta pranešimų ir pasiūlymų, todėl nebuvo poreikio vykdyti korupcijos prevencijos veiksmų plane esančių priemonių, susijusių su pranešėjų apsauga ir korupcijos prevencijos plano koregavimu pagal gautus pasiūlymus. Taip pat nebuvo poreikio atlikti korupcijos pasireiškimo tikimybę. </t>
  </si>
  <si>
    <t xml:space="preserve">Pateiktas mažesnis, nei numatytas, kiekis Savialdybės tarybos teisės aktų projektų, vertintinų antikorupciniu požiūriu. </t>
  </si>
  <si>
    <t>Vadovaujantis Administracijos direktoriaus 2025 m. birželio 10 d. įsakymu Nr. A1-930 „Dėl 2024 metų bendruomenės iniciatyvų projektų idėjų balsavimo rezultatų pripažinimo negaliojančiais“, 2024 m. įvykusio Bendruomenės iniciatyvų projektų idėjų balsavimo rezultatai pripažinti negaliojančiais, todėl 2025 metais lėšos nebuvo panaudotos.</t>
  </si>
  <si>
    <t>Vadovaujantis Telšių rajono savivaldybės direktoriaus 2025 m. birželio 10 d. įsakymu Nr. A1-930 „Dėl 2024 metų bendruomenės iniciatyvų projektų idėjų balsavimo rezultatų pripažinimo negaliojančiais“, 2024 m. įvykusio Bendruomenės iniciatyvų projektų idėjų balsavimo rezultatai pripažinti negaliojančiais, todėl projekto idėja 2025 metais nebuvo įgyvendinta.</t>
  </si>
  <si>
    <t>Suprojektuota daugiau žemės sklypų, kuriems buvo galimybė atlikti kadastrinius matavimus. Lėšos panaudotos pagal poreikį. Liko nepanaudotos lėšos, gautos už parduotus valstybinės žemės sklypus (LRVB (ŽR)). Šios lėšos gali būti naudojamos tik Savivaldybės lėšų, gautų už parduotus valstybinės žemės sklypus, naudojimo ir apskaitos tvarkos apraše, patvirtintame Savivaldybės tarybos 2024-06-27 sprendimu Nr. T1-266, nustatyta tvarka.</t>
  </si>
  <si>
    <t>faktiškai įvykdytos – 49 priemonės (pasiektos visos rodiklių reikšmės);</t>
  </si>
  <si>
    <t>iš dalies įvykdytos – 5 priemonės (pasiekta mažiau rodiklių reikšmių, nei planuota);</t>
  </si>
  <si>
    <t>neįvykdyta – 0 priemonių (nepasiekta nė viena planuota produkto rodiklio reikšmė).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</si>
</sst>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10427]#,##0.00;\-#,##0.00;&quot;&quot;"/>
  </numFmts>
  <fonts count="16" x14ac:knownFonts="1">
    <font>
      <sz val="11"/>
      <color rgb="FF000000"/>
      <name val="Calibri"/>
      <family val="2"/>
    </font>
    <font>
      <sz val="11"/>
      <color rgb="FF000000"/>
      <name val="Times New Roman"/>
      <family val="1"/>
      <charset val="186"/>
    </font>
    <font>
      <b/>
      <sz val="11"/>
      <color rgb="FF000000"/>
      <name val="Times New Roman"/>
      <family val="1"/>
      <charset val="186"/>
    </font>
    <font>
      <b/>
      <sz val="12"/>
      <color indexed="8"/>
      <name val="Times New Roman"/>
      <family val="1"/>
      <charset val="186"/>
    </font>
    <font>
      <sz val="12"/>
      <color indexed="8"/>
      <name val="Times New Roman"/>
      <family val="1"/>
      <charset val="186"/>
    </font>
    <font>
      <sz val="12"/>
      <name val="Times New Roman"/>
      <family val="1"/>
      <charset val="186"/>
    </font>
    <font>
      <u/>
      <sz val="12"/>
      <color indexed="8"/>
      <name val="Times New Roman"/>
      <family val="1"/>
      <charset val="186"/>
    </font>
    <font>
      <b/>
      <sz val="12"/>
      <name val="Times New Roman"/>
      <family val="1"/>
      <charset val="186"/>
    </font>
    <font>
      <sz val="11"/>
      <color indexed="8"/>
      <name val="Calibri"/>
      <family val="2"/>
    </font>
    <font>
      <sz val="11"/>
      <color rgb="FFFF0000"/>
      <name val="Calibri"/>
      <family val="2"/>
    </font>
    <font>
      <b/>
      <sz val="11"/>
      <color indexed="8"/>
      <name val="Calibri"/>
      <family val="2"/>
      <charset val="186"/>
    </font>
    <font>
      <sz val="11"/>
      <name val="Times New Roman"/>
      <family val="1"/>
      <charset val="186"/>
    </font>
    <font>
      <sz val="11"/>
      <color rgb="FFFF0000"/>
      <name val="Times New Roman"/>
      <family val="1"/>
      <charset val="186"/>
    </font>
    <font>
      <sz val="11"/>
      <color rgb="FFED0000"/>
      <name val="Times New Roman"/>
      <family val="1"/>
      <charset val="186"/>
    </font>
    <font>
      <sz val="11"/>
      <color theme="1"/>
      <name val="Times New Roman"/>
      <family val="1"/>
      <charset val="186"/>
    </font>
    <font>
      <b/>
      <sz val="11"/>
      <name val="Times New Roman"/>
      <family val="1"/>
      <charset val="186"/>
    </font>
  </fonts>
  <fills count="10">
    <fill>
      <patternFill patternType="none"/>
    </fill>
    <fill>
      <patternFill patternType="gray125"/>
    </fill>
    <fill>
      <patternFill patternType="solid">
        <fgColor rgb="FF9CBDD6"/>
        <bgColor rgb="FF9CBDD6"/>
      </patternFill>
    </fill>
    <fill>
      <patternFill patternType="solid">
        <fgColor rgb="FFEBEBEB"/>
        <bgColor rgb="FFEBEBEB"/>
      </patternFill>
    </fill>
    <fill>
      <patternFill patternType="solid">
        <fgColor rgb="FFFCF79A"/>
        <bgColor rgb="FFFCF79A"/>
      </patternFill>
    </fill>
    <fill>
      <patternFill patternType="solid">
        <fgColor rgb="FFFFF200"/>
        <bgColor rgb="FFFFF200"/>
      </patternFill>
    </fill>
    <fill>
      <patternFill patternType="solid">
        <fgColor rgb="FFFFFF00"/>
        <bgColor indexed="64"/>
      </patternFill>
    </fill>
    <fill>
      <patternFill patternType="solid">
        <fgColor rgb="FFE4E4E4"/>
        <bgColor indexed="64"/>
      </patternFill>
    </fill>
    <fill>
      <patternFill patternType="solid">
        <fgColor rgb="FFA8FFA1"/>
        <bgColor indexed="64"/>
      </patternFill>
    </fill>
    <fill>
      <patternFill patternType="solid">
        <fgColor rgb="FF99FF99"/>
        <bgColor indexed="64"/>
      </patternFill>
    </fill>
  </fills>
  <borders count="61">
    <border>
      <left/>
      <right/>
      <top/>
      <bottom/>
      <diagonal/>
    </border>
    <border>
      <left style="thin">
        <color rgb="FF000000"/>
      </left>
      <right style="thin">
        <color rgb="FF000000"/>
      </right>
      <top style="thin">
        <color rgb="FF000000"/>
      </top>
      <bottom style="thin">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medium">
        <color rgb="FF000000"/>
      </top>
      <bottom style="thin">
        <color indexed="64"/>
      </bottom>
      <diagonal/>
    </border>
    <border>
      <left style="thin">
        <color rgb="FF000000"/>
      </left>
      <right style="thin">
        <color rgb="FF000000"/>
      </right>
      <top/>
      <bottom style="thin">
        <color rgb="FF000000"/>
      </bottom>
      <diagonal/>
    </border>
    <border>
      <left style="medium">
        <color rgb="FF000000"/>
      </left>
      <right style="thin">
        <color rgb="FF000000"/>
      </right>
      <top style="medium">
        <color rgb="FF000000"/>
      </top>
      <bottom style="thin">
        <color indexed="64"/>
      </bottom>
      <diagonal/>
    </border>
    <border>
      <left style="medium">
        <color rgb="FF000000"/>
      </left>
      <right style="thin">
        <color rgb="FF000000"/>
      </right>
      <top/>
      <bottom style="thin">
        <color rgb="FF000000"/>
      </bottom>
      <diagonal/>
    </border>
    <border>
      <left style="thin">
        <color rgb="FF000000"/>
      </left>
      <right style="thin">
        <color rgb="FF000000"/>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medium">
        <color rgb="FF000000"/>
      </top>
      <bottom/>
      <diagonal/>
    </border>
    <border>
      <left style="thin">
        <color rgb="FF000000"/>
      </left>
      <right style="thin">
        <color rgb="FF000000"/>
      </right>
      <top style="medium">
        <color rgb="FF000000"/>
      </top>
      <bottom style="medium">
        <color indexed="64"/>
      </bottom>
      <diagonal/>
    </border>
    <border>
      <left style="thin">
        <color indexed="64"/>
      </left>
      <right style="thin">
        <color indexed="64"/>
      </right>
      <top/>
      <bottom style="thin">
        <color indexed="64"/>
      </bottom>
      <diagonal/>
    </border>
    <border>
      <left style="thin">
        <color rgb="FF000000"/>
      </left>
      <right style="thin">
        <color rgb="FF000000"/>
      </right>
      <top/>
      <bottom/>
      <diagonal/>
    </border>
    <border>
      <left style="thin">
        <color rgb="FF000000"/>
      </left>
      <right style="medium">
        <color rgb="FF000000"/>
      </right>
      <top style="medium">
        <color rgb="FF000000"/>
      </top>
      <bottom style="thin">
        <color indexed="64"/>
      </bottom>
      <diagonal/>
    </border>
    <border>
      <left style="thin">
        <color rgb="FF000000"/>
      </left>
      <right style="medium">
        <color rgb="FF000000"/>
      </right>
      <top/>
      <bottom style="thin">
        <color rgb="FF000000"/>
      </bottom>
      <diagonal/>
    </border>
    <border>
      <left style="medium">
        <color rgb="FF000000"/>
      </left>
      <right style="thin">
        <color rgb="FF000000"/>
      </right>
      <top style="medium">
        <color rgb="FF000000"/>
      </top>
      <bottom/>
      <diagonal/>
    </border>
    <border>
      <left/>
      <right style="thin">
        <color indexed="64"/>
      </right>
      <top style="medium">
        <color rgb="FF000000"/>
      </top>
      <bottom style="thin">
        <color rgb="FF000000"/>
      </bottom>
      <diagonal/>
    </border>
    <border>
      <left/>
      <right style="medium">
        <color rgb="FF000000"/>
      </right>
      <top style="medium">
        <color rgb="FF000000"/>
      </top>
      <bottom/>
      <diagonal/>
    </border>
    <border>
      <left style="medium">
        <color rgb="FF000000"/>
      </left>
      <right style="thin">
        <color rgb="FF000000"/>
      </right>
      <top/>
      <bottom/>
      <diagonal/>
    </border>
    <border>
      <left/>
      <right style="thin">
        <color indexed="64"/>
      </right>
      <top style="thin">
        <color rgb="FF000000"/>
      </top>
      <bottom style="thin">
        <color rgb="FF000000"/>
      </bottom>
      <diagonal/>
    </border>
    <border>
      <left/>
      <right style="medium">
        <color rgb="FF000000"/>
      </right>
      <top/>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thin">
        <color indexed="64"/>
      </right>
      <top style="thin">
        <color rgb="FF000000"/>
      </top>
      <bottom style="medium">
        <color rgb="FF000000"/>
      </bottom>
      <diagonal/>
    </border>
    <border>
      <left/>
      <right style="medium">
        <color rgb="FF000000"/>
      </right>
      <top/>
      <bottom style="medium">
        <color rgb="FF000000"/>
      </bottom>
      <diagonal/>
    </border>
    <border>
      <left style="thin">
        <color rgb="FF000000"/>
      </left>
      <right style="medium">
        <color rgb="FF000000"/>
      </right>
      <top style="thin">
        <color rgb="FF000000"/>
      </top>
      <bottom/>
      <diagonal/>
    </border>
    <border>
      <left style="thin">
        <color indexed="64"/>
      </left>
      <right style="medium">
        <color indexed="64"/>
      </right>
      <top style="medium">
        <color indexed="64"/>
      </top>
      <bottom style="thin">
        <color indexed="64"/>
      </bottom>
      <diagonal/>
    </border>
    <border>
      <left style="thin">
        <color rgb="FF000000"/>
      </left>
      <right style="medium">
        <color indexed="64"/>
      </right>
      <top style="thin">
        <color rgb="FF000000"/>
      </top>
      <bottom style="thin">
        <color rgb="FF000000"/>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style="thin">
        <color indexed="64"/>
      </top>
      <bottom style="thin">
        <color indexed="64"/>
      </bottom>
      <diagonal/>
    </border>
    <border>
      <left style="thin">
        <color rgb="FF000000"/>
      </left>
      <right style="medium">
        <color rgb="FF000000"/>
      </right>
      <top style="medium">
        <color rgb="FF000000"/>
      </top>
      <bottom/>
      <diagonal/>
    </border>
    <border>
      <left/>
      <right style="medium">
        <color indexed="64"/>
      </right>
      <top style="medium">
        <color indexed="64"/>
      </top>
      <bottom style="thin">
        <color rgb="FF000000"/>
      </bottom>
      <diagonal/>
    </border>
    <border>
      <left/>
      <right style="medium">
        <color indexed="64"/>
      </right>
      <top style="thin">
        <color rgb="FF000000"/>
      </top>
      <bottom style="thin">
        <color rgb="FF000000"/>
      </bottom>
      <diagonal/>
    </border>
    <border>
      <left/>
      <right style="medium">
        <color indexed="64"/>
      </right>
      <top style="thin">
        <color rgb="FF000000"/>
      </top>
      <bottom/>
      <diagonal/>
    </border>
    <border>
      <left/>
      <right style="medium">
        <color indexed="64"/>
      </right>
      <top/>
      <bottom style="medium">
        <color indexed="64"/>
      </bottom>
      <diagonal/>
    </border>
    <border>
      <left style="medium">
        <color indexed="64"/>
      </left>
      <right style="thin">
        <color rgb="FF000000"/>
      </right>
      <top style="medium">
        <color indexed="64"/>
      </top>
      <bottom style="thin">
        <color rgb="FF000000"/>
      </bottom>
      <diagonal/>
    </border>
    <border>
      <left style="thin">
        <color rgb="FF000000"/>
      </left>
      <right style="thin">
        <color rgb="FF000000"/>
      </right>
      <top style="medium">
        <color indexed="64"/>
      </top>
      <bottom style="thin">
        <color rgb="FF000000"/>
      </bottom>
      <diagonal/>
    </border>
    <border>
      <left style="thin">
        <color rgb="FF000000"/>
      </left>
      <right/>
      <top style="medium">
        <color indexed="64"/>
      </top>
      <bottom style="thin">
        <color rgb="FF000000"/>
      </bottom>
      <diagonal/>
    </border>
    <border>
      <left style="thin">
        <color indexed="64"/>
      </left>
      <right style="thin">
        <color indexed="64"/>
      </right>
      <top style="medium">
        <color indexed="64"/>
      </top>
      <bottom style="thin">
        <color indexed="64"/>
      </bottom>
      <diagonal/>
    </border>
    <border>
      <left style="medium">
        <color indexed="64"/>
      </left>
      <right style="thin">
        <color rgb="FF000000"/>
      </right>
      <top style="thin">
        <color rgb="FF000000"/>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top style="thin">
        <color rgb="FF000000"/>
      </top>
      <bottom style="medium">
        <color indexed="64"/>
      </bottom>
      <diagonal/>
    </border>
    <border>
      <left style="thin">
        <color indexed="64"/>
      </left>
      <right style="thin">
        <color indexed="64"/>
      </right>
      <top style="thin">
        <color indexed="64"/>
      </top>
      <bottom style="medium">
        <color indexed="64"/>
      </bottom>
      <diagonal/>
    </border>
    <border>
      <left style="thin">
        <color rgb="FF000000"/>
      </left>
      <right style="medium">
        <color indexed="64"/>
      </right>
      <top style="thin">
        <color indexed="64"/>
      </top>
      <bottom style="thin">
        <color indexed="64"/>
      </bottom>
      <diagonal/>
    </border>
    <border>
      <left style="thin">
        <color rgb="FF000000"/>
      </left>
      <right style="medium">
        <color indexed="64"/>
      </right>
      <top style="thin">
        <color indexed="64"/>
      </top>
      <bottom style="medium">
        <color indexed="64"/>
      </bottom>
      <diagonal/>
    </border>
    <border>
      <left style="thin">
        <color rgb="FF000000"/>
      </left>
      <right style="medium">
        <color rgb="FF000000"/>
      </right>
      <top style="thin">
        <color indexed="64"/>
      </top>
      <bottom style="thin">
        <color indexed="64"/>
      </bottom>
      <diagonal/>
    </border>
    <border>
      <left style="thin">
        <color rgb="FF000000"/>
      </left>
      <right style="medium">
        <color rgb="FF000000"/>
      </right>
      <top style="medium">
        <color rgb="FF000000"/>
      </top>
      <bottom style="medium">
        <color indexed="64"/>
      </bottom>
      <diagonal/>
    </border>
  </borders>
  <cellStyleXfs count="1">
    <xf numFmtId="0" fontId="0" fillId="0" borderId="0" applyBorder="0"/>
  </cellStyleXfs>
  <cellXfs count="248">
    <xf numFmtId="0" fontId="0" fillId="0" borderId="0" xfId="0"/>
    <xf numFmtId="0" fontId="1" fillId="0" borderId="0" xfId="0" applyFont="1" applyAlignment="1">
      <alignment wrapText="1"/>
    </xf>
    <xf numFmtId="0" fontId="2" fillId="0" borderId="10" xfId="0" applyFont="1" applyBorder="1" applyAlignment="1">
      <alignment horizontal="center" wrapText="1" readingOrder="1"/>
    </xf>
    <xf numFmtId="0" fontId="1" fillId="5" borderId="5" xfId="0" applyFont="1" applyFill="1" applyBorder="1" applyAlignment="1" applyProtection="1">
      <alignment vertical="top" wrapText="1" readingOrder="1"/>
      <protection locked="0"/>
    </xf>
    <xf numFmtId="0" fontId="1" fillId="5" borderId="6" xfId="0" applyFont="1" applyFill="1" applyBorder="1" applyAlignment="1" applyProtection="1">
      <alignment vertical="top" wrapText="1" readingOrder="1"/>
      <protection locked="0"/>
    </xf>
    <xf numFmtId="164" fontId="1" fillId="5" borderId="6" xfId="0" applyNumberFormat="1" applyFont="1" applyFill="1" applyBorder="1" applyAlignment="1">
      <alignment horizontal="right" vertical="top" wrapText="1" readingOrder="1"/>
    </xf>
    <xf numFmtId="0" fontId="1" fillId="5" borderId="6" xfId="0" applyFont="1" applyFill="1" applyBorder="1" applyAlignment="1" applyProtection="1">
      <alignment horizontal="right" vertical="top" wrapText="1" readingOrder="1"/>
      <protection locked="0"/>
    </xf>
    <xf numFmtId="0" fontId="1" fillId="5" borderId="6" xfId="0" applyFont="1" applyFill="1" applyBorder="1" applyAlignment="1" applyProtection="1">
      <alignment horizontal="left" vertical="top" wrapText="1" readingOrder="1"/>
      <protection locked="0"/>
    </xf>
    <xf numFmtId="0" fontId="1" fillId="5" borderId="6" xfId="0" applyFont="1" applyFill="1" applyBorder="1" applyAlignment="1" applyProtection="1">
      <alignment horizontal="center" vertical="top" wrapText="1" readingOrder="1"/>
      <protection locked="0"/>
    </xf>
    <xf numFmtId="0" fontId="1" fillId="4" borderId="5" xfId="0" applyFont="1" applyFill="1" applyBorder="1" applyAlignment="1" applyProtection="1">
      <alignment vertical="top" wrapText="1" readingOrder="1"/>
      <protection locked="0"/>
    </xf>
    <xf numFmtId="0" fontId="1" fillId="4" borderId="6" xfId="0" applyFont="1" applyFill="1" applyBorder="1" applyAlignment="1" applyProtection="1">
      <alignment vertical="top" wrapText="1" readingOrder="1"/>
      <protection locked="0"/>
    </xf>
    <xf numFmtId="164" fontId="1" fillId="4" borderId="6" xfId="0" applyNumberFormat="1" applyFont="1" applyFill="1" applyBorder="1" applyAlignment="1">
      <alignment horizontal="right" vertical="top" wrapText="1" readingOrder="1"/>
    </xf>
    <xf numFmtId="0" fontId="1" fillId="4" borderId="6" xfId="0" applyFont="1" applyFill="1" applyBorder="1" applyAlignment="1" applyProtection="1">
      <alignment horizontal="right" vertical="top" wrapText="1" readingOrder="1"/>
      <protection locked="0"/>
    </xf>
    <xf numFmtId="0" fontId="1" fillId="4" borderId="6" xfId="0" applyFont="1" applyFill="1" applyBorder="1" applyAlignment="1" applyProtection="1">
      <alignment horizontal="left" vertical="top" wrapText="1" readingOrder="1"/>
      <protection locked="0"/>
    </xf>
    <xf numFmtId="0" fontId="1" fillId="4" borderId="6" xfId="0" applyFont="1" applyFill="1" applyBorder="1" applyAlignment="1" applyProtection="1">
      <alignment horizontal="center" vertical="top" wrapText="1" readingOrder="1"/>
      <protection locked="0"/>
    </xf>
    <xf numFmtId="0" fontId="1" fillId="2" borderId="5" xfId="0" applyFont="1" applyFill="1" applyBorder="1" applyAlignment="1" applyProtection="1">
      <alignment vertical="top" wrapText="1" readingOrder="1"/>
      <protection locked="0"/>
    </xf>
    <xf numFmtId="0" fontId="1" fillId="2" borderId="6" xfId="0" applyFont="1" applyFill="1" applyBorder="1" applyAlignment="1" applyProtection="1">
      <alignment vertical="top" wrapText="1" readingOrder="1"/>
      <protection locked="0"/>
    </xf>
    <xf numFmtId="164" fontId="1" fillId="2" borderId="6" xfId="0" applyNumberFormat="1" applyFont="1" applyFill="1" applyBorder="1" applyAlignment="1">
      <alignment horizontal="right" vertical="top" wrapText="1" readingOrder="1"/>
    </xf>
    <xf numFmtId="0" fontId="1" fillId="2" borderId="6" xfId="0" applyFont="1" applyFill="1" applyBorder="1" applyAlignment="1" applyProtection="1">
      <alignment horizontal="left" vertical="top" wrapText="1" readingOrder="1"/>
      <protection locked="0"/>
    </xf>
    <xf numFmtId="0" fontId="1" fillId="2" borderId="6" xfId="0" applyFont="1" applyFill="1" applyBorder="1" applyAlignment="1" applyProtection="1">
      <alignment horizontal="center" vertical="top" wrapText="1" readingOrder="1"/>
      <protection locked="0"/>
    </xf>
    <xf numFmtId="164" fontId="1" fillId="0" borderId="6" xfId="0" applyNumberFormat="1" applyFont="1" applyBorder="1" applyAlignment="1" applyProtection="1">
      <alignment horizontal="right" vertical="top" wrapText="1" readingOrder="1"/>
      <protection locked="0"/>
    </xf>
    <xf numFmtId="0" fontId="1" fillId="0" borderId="6" xfId="0" applyFont="1" applyBorder="1" applyAlignment="1" applyProtection="1">
      <alignment horizontal="right" vertical="top" wrapText="1" readingOrder="1"/>
      <protection locked="0"/>
    </xf>
    <xf numFmtId="0" fontId="1" fillId="0" borderId="6" xfId="0" applyFont="1" applyBorder="1" applyAlignment="1" applyProtection="1">
      <alignment horizontal="left" vertical="top" wrapText="1" readingOrder="1"/>
      <protection locked="0"/>
    </xf>
    <xf numFmtId="0" fontId="1" fillId="0" borderId="6" xfId="0" applyFont="1" applyBorder="1" applyAlignment="1" applyProtection="1">
      <alignment horizontal="center" vertical="top" wrapText="1" readingOrder="1"/>
      <protection locked="0"/>
    </xf>
    <xf numFmtId="164" fontId="1" fillId="0" borderId="6" xfId="0" applyNumberFormat="1" applyFont="1" applyBorder="1" applyAlignment="1">
      <alignment horizontal="right" vertical="top" wrapText="1" readingOrder="1"/>
    </xf>
    <xf numFmtId="0" fontId="1" fillId="0" borderId="8" xfId="0" applyFont="1" applyBorder="1" applyAlignment="1" applyProtection="1">
      <alignment vertical="top" wrapText="1" readingOrder="1"/>
      <protection locked="0"/>
    </xf>
    <xf numFmtId="0" fontId="1" fillId="0" borderId="1" xfId="0" applyFont="1" applyBorder="1" applyAlignment="1" applyProtection="1">
      <alignment vertical="top" wrapText="1" readingOrder="1"/>
      <protection locked="0"/>
    </xf>
    <xf numFmtId="164" fontId="1" fillId="0" borderId="1" xfId="0" applyNumberFormat="1" applyFont="1" applyBorder="1" applyAlignment="1" applyProtection="1">
      <alignment horizontal="right" vertical="top" wrapText="1" readingOrder="1"/>
      <protection locked="0"/>
    </xf>
    <xf numFmtId="0" fontId="1" fillId="0" borderId="1" xfId="0" applyFont="1" applyBorder="1" applyAlignment="1" applyProtection="1">
      <alignment horizontal="right" vertical="top" wrapText="1" readingOrder="1"/>
      <protection locked="0"/>
    </xf>
    <xf numFmtId="0" fontId="1" fillId="0" borderId="1" xfId="0" applyFont="1" applyBorder="1" applyAlignment="1" applyProtection="1">
      <alignment horizontal="left" vertical="top" wrapText="1" readingOrder="1"/>
      <protection locked="0"/>
    </xf>
    <xf numFmtId="0" fontId="1" fillId="0" borderId="1" xfId="0" applyFont="1" applyBorder="1" applyAlignment="1" applyProtection="1">
      <alignment horizontal="center" vertical="top" wrapText="1" readingOrder="1"/>
      <protection locked="0"/>
    </xf>
    <xf numFmtId="164" fontId="1" fillId="0" borderId="1" xfId="0" applyNumberFormat="1" applyFont="1" applyBorder="1" applyAlignment="1">
      <alignment horizontal="right" vertical="top" wrapText="1" readingOrder="1"/>
    </xf>
    <xf numFmtId="0" fontId="2" fillId="3" borderId="1" xfId="0" applyFont="1" applyFill="1" applyBorder="1" applyAlignment="1" applyProtection="1">
      <alignment vertical="top" wrapText="1" readingOrder="1"/>
      <protection locked="0"/>
    </xf>
    <xf numFmtId="0" fontId="2" fillId="3" borderId="1" xfId="0" applyFont="1" applyFill="1" applyBorder="1" applyAlignment="1" applyProtection="1">
      <alignment horizontal="right" vertical="top" wrapText="1" readingOrder="1"/>
      <protection locked="0"/>
    </xf>
    <xf numFmtId="164" fontId="2" fillId="3" borderId="1" xfId="0" applyNumberFormat="1" applyFont="1" applyFill="1" applyBorder="1" applyAlignment="1">
      <alignment horizontal="right" vertical="top" wrapText="1" readingOrder="1"/>
    </xf>
    <xf numFmtId="0" fontId="1" fillId="0" borderId="0" xfId="0" applyFont="1" applyAlignment="1">
      <alignment vertical="center" wrapText="1"/>
    </xf>
    <xf numFmtId="2" fontId="1" fillId="5" borderId="6" xfId="0" applyNumberFormat="1" applyFont="1" applyFill="1" applyBorder="1" applyAlignment="1" applyProtection="1">
      <alignment horizontal="right" vertical="top" wrapText="1" readingOrder="1"/>
      <protection locked="0"/>
    </xf>
    <xf numFmtId="0" fontId="1" fillId="2" borderId="14" xfId="0" applyFont="1" applyFill="1" applyBorder="1" applyAlignment="1" applyProtection="1">
      <alignment horizontal="left" vertical="top" wrapText="1" readingOrder="1"/>
      <protection locked="0"/>
    </xf>
    <xf numFmtId="0" fontId="1" fillId="2" borderId="14" xfId="0" applyFont="1" applyFill="1" applyBorder="1" applyAlignment="1" applyProtection="1">
      <alignment horizontal="center" vertical="top" wrapText="1" readingOrder="1"/>
      <protection locked="0"/>
    </xf>
    <xf numFmtId="0" fontId="1" fillId="2" borderId="15" xfId="0" applyFont="1" applyFill="1" applyBorder="1" applyAlignment="1" applyProtection="1">
      <alignment horizontal="left" vertical="top" wrapText="1" readingOrder="1"/>
      <protection locked="0"/>
    </xf>
    <xf numFmtId="0" fontId="1" fillId="2" borderId="15" xfId="0" applyFont="1" applyFill="1" applyBorder="1" applyAlignment="1" applyProtection="1">
      <alignment horizontal="center" vertical="top" wrapText="1" readingOrder="1"/>
      <protection locked="0"/>
    </xf>
    <xf numFmtId="0" fontId="1" fillId="2" borderId="17" xfId="0" applyFont="1" applyFill="1" applyBorder="1" applyAlignment="1" applyProtection="1">
      <alignment vertical="top" wrapText="1" readingOrder="1"/>
      <protection locked="0"/>
    </xf>
    <xf numFmtId="0" fontId="1" fillId="2" borderId="15" xfId="0" applyFont="1" applyFill="1" applyBorder="1" applyAlignment="1" applyProtection="1">
      <alignment vertical="top" wrapText="1" readingOrder="1"/>
      <protection locked="0"/>
    </xf>
    <xf numFmtId="164" fontId="1" fillId="2" borderId="15" xfId="0" applyNumberFormat="1" applyFont="1" applyFill="1" applyBorder="1" applyAlignment="1">
      <alignment horizontal="right" vertical="top" wrapText="1" readingOrder="1"/>
    </xf>
    <xf numFmtId="0" fontId="1" fillId="2" borderId="16" xfId="0" applyFont="1" applyFill="1" applyBorder="1" applyAlignment="1" applyProtection="1">
      <alignment vertical="top" wrapText="1" readingOrder="1"/>
      <protection locked="0"/>
    </xf>
    <xf numFmtId="0" fontId="1" fillId="2" borderId="14" xfId="0" applyFont="1" applyFill="1" applyBorder="1" applyAlignment="1" applyProtection="1">
      <alignment vertical="top" wrapText="1" readingOrder="1"/>
      <protection locked="0"/>
    </xf>
    <xf numFmtId="164" fontId="1" fillId="2" borderId="14" xfId="0" applyNumberFormat="1" applyFont="1" applyFill="1" applyBorder="1" applyAlignment="1">
      <alignment horizontal="right" vertical="top" wrapText="1" readingOrder="1"/>
    </xf>
    <xf numFmtId="2" fontId="1" fillId="4" borderId="6" xfId="0" applyNumberFormat="1" applyFont="1" applyFill="1" applyBorder="1" applyAlignment="1" applyProtection="1">
      <alignment horizontal="right" vertical="top" wrapText="1" readingOrder="1"/>
      <protection locked="0"/>
    </xf>
    <xf numFmtId="2" fontId="1" fillId="2" borderId="14" xfId="0" applyNumberFormat="1" applyFont="1" applyFill="1" applyBorder="1" applyAlignment="1" applyProtection="1">
      <alignment horizontal="right" vertical="top" wrapText="1" readingOrder="1"/>
      <protection locked="0"/>
    </xf>
    <xf numFmtId="2" fontId="1" fillId="0" borderId="6" xfId="0" applyNumberFormat="1" applyFont="1" applyBorder="1" applyAlignment="1" applyProtection="1">
      <alignment horizontal="right" vertical="top" wrapText="1" readingOrder="1"/>
      <protection locked="0"/>
    </xf>
    <xf numFmtId="2" fontId="1" fillId="2" borderId="15" xfId="0" applyNumberFormat="1" applyFont="1" applyFill="1" applyBorder="1" applyAlignment="1" applyProtection="1">
      <alignment horizontal="right" vertical="top" wrapText="1" readingOrder="1"/>
      <protection locked="0"/>
    </xf>
    <xf numFmtId="2" fontId="1" fillId="0" borderId="1" xfId="0" applyNumberFormat="1" applyFont="1" applyBorder="1" applyAlignment="1" applyProtection="1">
      <alignment horizontal="right" vertical="top" wrapText="1" readingOrder="1"/>
      <protection locked="0"/>
    </xf>
    <xf numFmtId="2" fontId="1" fillId="2" borderId="6" xfId="0" applyNumberFormat="1" applyFont="1" applyFill="1" applyBorder="1" applyAlignment="1" applyProtection="1">
      <alignment horizontal="right" vertical="top" wrapText="1" readingOrder="1"/>
      <protection locked="0"/>
    </xf>
    <xf numFmtId="164" fontId="1" fillId="0" borderId="13" xfId="0" applyNumberFormat="1" applyFont="1" applyBorder="1" applyAlignment="1">
      <alignment horizontal="right" vertical="top" wrapText="1" readingOrder="1"/>
    </xf>
    <xf numFmtId="164" fontId="1" fillId="0" borderId="13" xfId="0" applyNumberFormat="1" applyFont="1" applyBorder="1" applyAlignment="1" applyProtection="1">
      <alignment horizontal="right" vertical="top" wrapText="1" readingOrder="1"/>
      <protection locked="0"/>
    </xf>
    <xf numFmtId="164" fontId="2" fillId="3" borderId="13" xfId="0" applyNumberFormat="1" applyFont="1" applyFill="1" applyBorder="1" applyAlignment="1">
      <alignment horizontal="right" vertical="top" wrapText="1" readingOrder="1"/>
    </xf>
    <xf numFmtId="2" fontId="1" fillId="0" borderId="19" xfId="0" applyNumberFormat="1" applyFont="1" applyBorder="1" applyAlignment="1">
      <alignment wrapText="1"/>
    </xf>
    <xf numFmtId="0" fontId="1" fillId="6" borderId="1" xfId="0" applyFont="1" applyFill="1" applyBorder="1" applyAlignment="1" applyProtection="1">
      <alignment vertical="top" wrapText="1" readingOrder="1"/>
      <protection locked="0"/>
    </xf>
    <xf numFmtId="164" fontId="1" fillId="6" borderId="1" xfId="0" applyNumberFormat="1" applyFont="1" applyFill="1" applyBorder="1" applyAlignment="1">
      <alignment horizontal="right" vertical="top" wrapText="1" readingOrder="1"/>
    </xf>
    <xf numFmtId="164" fontId="1" fillId="6" borderId="13" xfId="0" applyNumberFormat="1" applyFont="1" applyFill="1" applyBorder="1" applyAlignment="1">
      <alignment horizontal="right" vertical="top" wrapText="1" readingOrder="1"/>
    </xf>
    <xf numFmtId="2" fontId="1" fillId="6" borderId="22" xfId="0" applyNumberFormat="1" applyFont="1" applyFill="1" applyBorder="1" applyAlignment="1">
      <alignment wrapText="1"/>
    </xf>
    <xf numFmtId="2" fontId="1" fillId="6" borderId="19" xfId="0" applyNumberFormat="1" applyFont="1" applyFill="1" applyBorder="1" applyAlignment="1">
      <alignment vertical="top" wrapText="1"/>
    </xf>
    <xf numFmtId="2" fontId="1" fillId="2" borderId="23" xfId="0" applyNumberFormat="1" applyFont="1" applyFill="1" applyBorder="1" applyAlignment="1" applyProtection="1">
      <alignment horizontal="right" vertical="top" wrapText="1" readingOrder="1"/>
      <protection locked="0"/>
    </xf>
    <xf numFmtId="0" fontId="2" fillId="0" borderId="34" xfId="0" applyFont="1" applyBorder="1" applyAlignment="1">
      <alignment horizontal="center" wrapText="1" readingOrder="1"/>
    </xf>
    <xf numFmtId="2" fontId="2" fillId="7" borderId="19" xfId="0" applyNumberFormat="1" applyFont="1" applyFill="1" applyBorder="1" applyAlignment="1">
      <alignment horizontal="center" vertical="top" wrapText="1"/>
    </xf>
    <xf numFmtId="0" fontId="4" fillId="0" borderId="0" xfId="0" applyFont="1"/>
    <xf numFmtId="0" fontId="5" fillId="0" borderId="0" xfId="0" applyFont="1"/>
    <xf numFmtId="0" fontId="8" fillId="0" borderId="0" xfId="0" applyFont="1" applyAlignment="1">
      <alignment horizontal="left"/>
    </xf>
    <xf numFmtId="0" fontId="9" fillId="0" borderId="0" xfId="0" applyFont="1" applyAlignment="1">
      <alignment horizontal="left"/>
    </xf>
    <xf numFmtId="0" fontId="8" fillId="0" borderId="0" xfId="0" applyFont="1" applyAlignment="1">
      <alignment horizontal="center" wrapText="1"/>
    </xf>
    <xf numFmtId="0" fontId="10" fillId="0" borderId="0" xfId="0" applyFont="1"/>
    <xf numFmtId="2" fontId="11" fillId="0" borderId="6" xfId="0" applyNumberFormat="1" applyFont="1" applyBorder="1" applyAlignment="1" applyProtection="1">
      <alignment horizontal="right" vertical="top" wrapText="1" readingOrder="1"/>
      <protection locked="0"/>
    </xf>
    <xf numFmtId="0" fontId="12" fillId="0" borderId="0" xfId="0" applyFont="1" applyAlignment="1">
      <alignment wrapText="1"/>
    </xf>
    <xf numFmtId="0" fontId="12" fillId="5" borderId="7" xfId="0" applyFont="1" applyFill="1" applyBorder="1" applyAlignment="1" applyProtection="1">
      <alignment horizontal="right" vertical="top" wrapText="1" readingOrder="1"/>
      <protection locked="0"/>
    </xf>
    <xf numFmtId="0" fontId="12" fillId="4" borderId="7" xfId="0" applyFont="1" applyFill="1" applyBorder="1" applyAlignment="1" applyProtection="1">
      <alignment horizontal="right" vertical="top" wrapText="1" readingOrder="1"/>
      <protection locked="0"/>
    </xf>
    <xf numFmtId="0" fontId="12" fillId="2" borderId="7" xfId="0" applyFont="1" applyFill="1" applyBorder="1" applyAlignment="1" applyProtection="1">
      <alignment horizontal="right" vertical="top" wrapText="1" readingOrder="1"/>
      <protection locked="0"/>
    </xf>
    <xf numFmtId="0" fontId="11" fillId="2" borderId="24" xfId="0" applyFont="1" applyFill="1" applyBorder="1" applyAlignment="1" applyProtection="1">
      <alignment horizontal="left" vertical="top" wrapText="1" readingOrder="1"/>
      <protection locked="0"/>
    </xf>
    <xf numFmtId="2" fontId="13" fillId="6" borderId="6" xfId="0" applyNumberFormat="1" applyFont="1" applyFill="1" applyBorder="1" applyAlignment="1" applyProtection="1">
      <alignment horizontal="right" vertical="top" wrapText="1" readingOrder="1"/>
      <protection locked="0"/>
    </xf>
    <xf numFmtId="0" fontId="11" fillId="2" borderId="25" xfId="0" applyFont="1" applyFill="1" applyBorder="1" applyAlignment="1" applyProtection="1">
      <alignment horizontal="left" vertical="top" wrapText="1" readingOrder="1"/>
      <protection locked="0"/>
    </xf>
    <xf numFmtId="0" fontId="11" fillId="0" borderId="9" xfId="0" applyFont="1" applyBorder="1" applyAlignment="1" applyProtection="1">
      <alignment horizontal="left" vertical="top" wrapText="1" readingOrder="1"/>
      <protection locked="0"/>
    </xf>
    <xf numFmtId="0" fontId="12" fillId="6" borderId="7" xfId="0" applyFont="1" applyFill="1" applyBorder="1" applyAlignment="1" applyProtection="1">
      <alignment horizontal="left" vertical="top" wrapText="1" readingOrder="1"/>
      <protection locked="0"/>
    </xf>
    <xf numFmtId="0" fontId="13" fillId="6" borderId="5" xfId="0" applyFont="1" applyFill="1" applyBorder="1" applyAlignment="1" applyProtection="1">
      <alignment vertical="top" wrapText="1" readingOrder="1"/>
      <protection locked="0"/>
    </xf>
    <xf numFmtId="0" fontId="13" fillId="6" borderId="6" xfId="0" applyFont="1" applyFill="1" applyBorder="1" applyAlignment="1" applyProtection="1">
      <alignment vertical="top" wrapText="1" readingOrder="1"/>
      <protection locked="0"/>
    </xf>
    <xf numFmtId="164" fontId="13" fillId="6" borderId="6" xfId="0" applyNumberFormat="1" applyFont="1" applyFill="1" applyBorder="1" applyAlignment="1" applyProtection="1">
      <alignment horizontal="right" vertical="top" wrapText="1" readingOrder="1"/>
      <protection locked="0"/>
    </xf>
    <xf numFmtId="0" fontId="13" fillId="6" borderId="6" xfId="0" applyFont="1" applyFill="1" applyBorder="1" applyAlignment="1" applyProtection="1">
      <alignment horizontal="left" vertical="top" wrapText="1" readingOrder="1"/>
      <protection locked="0"/>
    </xf>
    <xf numFmtId="0" fontId="13" fillId="6" borderId="6" xfId="0" applyFont="1" applyFill="1" applyBorder="1" applyAlignment="1" applyProtection="1">
      <alignment horizontal="center" vertical="top" wrapText="1" readingOrder="1"/>
      <protection locked="0"/>
    </xf>
    <xf numFmtId="0" fontId="13" fillId="6" borderId="6" xfId="0" applyFont="1" applyFill="1" applyBorder="1" applyAlignment="1" applyProtection="1">
      <alignment horizontal="right" vertical="top" wrapText="1" readingOrder="1"/>
      <protection locked="0"/>
    </xf>
    <xf numFmtId="2" fontId="11" fillId="0" borderId="14" xfId="0" applyNumberFormat="1" applyFont="1" applyBorder="1" applyAlignment="1" applyProtection="1">
      <alignment horizontal="right" vertical="top" wrapText="1" readingOrder="1"/>
      <protection locked="0"/>
    </xf>
    <xf numFmtId="0" fontId="11" fillId="0" borderId="7" xfId="0" applyFont="1" applyBorder="1" applyAlignment="1" applyProtection="1">
      <alignment horizontal="left" vertical="top" wrapText="1" readingOrder="1"/>
      <protection locked="0"/>
    </xf>
    <xf numFmtId="0" fontId="13" fillId="0" borderId="0" xfId="0" applyFont="1" applyAlignment="1">
      <alignment wrapText="1"/>
    </xf>
    <xf numFmtId="0" fontId="11" fillId="2" borderId="7" xfId="0" applyFont="1" applyFill="1" applyBorder="1" applyAlignment="1" applyProtection="1">
      <alignment horizontal="left" vertical="top" wrapText="1" readingOrder="1"/>
      <protection locked="0"/>
    </xf>
    <xf numFmtId="0" fontId="1" fillId="0" borderId="5" xfId="0" applyFont="1" applyBorder="1" applyAlignment="1" applyProtection="1">
      <alignment vertical="top" wrapText="1" readingOrder="1"/>
      <protection locked="0"/>
    </xf>
    <xf numFmtId="0" fontId="1" fillId="0" borderId="6" xfId="0" applyFont="1" applyBorder="1" applyAlignment="1" applyProtection="1">
      <alignment vertical="top" wrapText="1" readingOrder="1"/>
      <protection locked="0"/>
    </xf>
    <xf numFmtId="0" fontId="12" fillId="0" borderId="7" xfId="0" applyFont="1" applyBorder="1" applyAlignment="1" applyProtection="1">
      <alignment horizontal="right" vertical="top" wrapText="1" readingOrder="1"/>
      <protection locked="0"/>
    </xf>
    <xf numFmtId="2" fontId="11" fillId="0" borderId="1" xfId="0" applyNumberFormat="1" applyFont="1" applyBorder="1" applyAlignment="1" applyProtection="1">
      <alignment horizontal="right" vertical="top" wrapText="1" readingOrder="1"/>
      <protection locked="0"/>
    </xf>
    <xf numFmtId="0" fontId="11" fillId="0" borderId="0" xfId="0" applyFont="1" applyAlignment="1">
      <alignment vertical="center" wrapText="1"/>
    </xf>
    <xf numFmtId="0" fontId="11" fillId="0" borderId="36" xfId="0" applyFont="1" applyBorder="1" applyAlignment="1" applyProtection="1">
      <alignment horizontal="left" vertical="top" wrapText="1" readingOrder="1"/>
      <protection locked="0"/>
    </xf>
    <xf numFmtId="0" fontId="11" fillId="0" borderId="37" xfId="0" applyFont="1" applyBorder="1" applyAlignment="1" applyProtection="1">
      <alignment horizontal="left" vertical="top" wrapText="1" readingOrder="1"/>
      <protection locked="0"/>
    </xf>
    <xf numFmtId="0" fontId="11" fillId="0" borderId="38" xfId="0" applyFont="1" applyBorder="1" applyAlignment="1" applyProtection="1">
      <alignment horizontal="left" vertical="top" wrapText="1" readingOrder="1"/>
      <protection locked="0"/>
    </xf>
    <xf numFmtId="0" fontId="11" fillId="0" borderId="1" xfId="0" applyFont="1" applyBorder="1" applyAlignment="1" applyProtection="1">
      <alignment horizontal="left" vertical="top" wrapText="1" readingOrder="1"/>
      <protection locked="0"/>
    </xf>
    <xf numFmtId="0" fontId="11" fillId="0" borderId="1" xfId="0" applyFont="1" applyBorder="1" applyAlignment="1" applyProtection="1">
      <alignment horizontal="center" vertical="top" wrapText="1" readingOrder="1"/>
      <protection locked="0"/>
    </xf>
    <xf numFmtId="0" fontId="11" fillId="0" borderId="1" xfId="0" applyFont="1" applyBorder="1" applyAlignment="1" applyProtection="1">
      <alignment horizontal="right" vertical="top" wrapText="1" readingOrder="1"/>
      <protection locked="0"/>
    </xf>
    <xf numFmtId="2" fontId="11" fillId="0" borderId="9" xfId="0" applyNumberFormat="1" applyFont="1" applyBorder="1" applyAlignment="1" applyProtection="1">
      <alignment horizontal="left" vertical="top" wrapText="1" readingOrder="1"/>
      <protection locked="0"/>
    </xf>
    <xf numFmtId="0" fontId="11" fillId="0" borderId="6" xfId="0" applyFont="1" applyBorder="1" applyAlignment="1" applyProtection="1">
      <alignment horizontal="left" vertical="top" wrapText="1" readingOrder="1"/>
      <protection locked="0"/>
    </xf>
    <xf numFmtId="0" fontId="11" fillId="0" borderId="6" xfId="0" applyFont="1" applyBorder="1" applyAlignment="1" applyProtection="1">
      <alignment horizontal="center" vertical="top" wrapText="1" readingOrder="1"/>
      <protection locked="0"/>
    </xf>
    <xf numFmtId="0" fontId="11" fillId="0" borderId="6" xfId="0" applyFont="1" applyBorder="1" applyAlignment="1" applyProtection="1">
      <alignment horizontal="right" vertical="top" wrapText="1" readingOrder="1"/>
      <protection locked="0"/>
    </xf>
    <xf numFmtId="1" fontId="11" fillId="0" borderId="37" xfId="0" applyNumberFormat="1" applyFont="1" applyBorder="1" applyAlignment="1">
      <alignment vertical="center" wrapText="1"/>
    </xf>
    <xf numFmtId="1" fontId="11" fillId="0" borderId="39" xfId="0" applyNumberFormat="1" applyFont="1" applyBorder="1" applyAlignment="1">
      <alignment vertical="center" wrapText="1"/>
    </xf>
    <xf numFmtId="0" fontId="11" fillId="0" borderId="25" xfId="0" applyFont="1" applyBorder="1" applyAlignment="1" applyProtection="1">
      <alignment horizontal="left" vertical="top" wrapText="1" readingOrder="1"/>
      <protection locked="0"/>
    </xf>
    <xf numFmtId="0" fontId="12" fillId="0" borderId="9" xfId="0" applyFont="1" applyBorder="1" applyAlignment="1" applyProtection="1">
      <alignment horizontal="left" vertical="top" wrapText="1" readingOrder="1"/>
      <protection locked="0"/>
    </xf>
    <xf numFmtId="0" fontId="11" fillId="0" borderId="37" xfId="0" applyFont="1" applyBorder="1" applyAlignment="1">
      <alignment wrapText="1"/>
    </xf>
    <xf numFmtId="0" fontId="12" fillId="0" borderId="39" xfId="0" applyFont="1" applyBorder="1" applyAlignment="1">
      <alignment wrapText="1"/>
    </xf>
    <xf numFmtId="0" fontId="11" fillId="0" borderId="39" xfId="0" applyFont="1" applyBorder="1" applyAlignment="1">
      <alignment wrapText="1"/>
    </xf>
    <xf numFmtId="0" fontId="11" fillId="0" borderId="39" xfId="0" applyFont="1" applyBorder="1" applyAlignment="1">
      <alignment vertical="top" wrapText="1"/>
    </xf>
    <xf numFmtId="0" fontId="11" fillId="0" borderId="40" xfId="0" applyFont="1" applyBorder="1" applyAlignment="1">
      <alignment vertical="top" wrapText="1"/>
    </xf>
    <xf numFmtId="0" fontId="12" fillId="0" borderId="9" xfId="0" applyFont="1" applyBorder="1" applyAlignment="1" applyProtection="1">
      <alignment horizontal="right" vertical="top" wrapText="1" readingOrder="1"/>
      <protection locked="0"/>
    </xf>
    <xf numFmtId="0" fontId="1" fillId="0" borderId="26" xfId="0" applyFont="1" applyBorder="1" applyAlignment="1" applyProtection="1">
      <alignment vertical="top" wrapText="1" readingOrder="1"/>
      <protection locked="0"/>
    </xf>
    <xf numFmtId="0" fontId="1" fillId="0" borderId="20" xfId="0" applyFont="1" applyBorder="1" applyAlignment="1" applyProtection="1">
      <alignment vertical="top" wrapText="1" readingOrder="1"/>
      <protection locked="0"/>
    </xf>
    <xf numFmtId="164" fontId="1" fillId="0" borderId="20" xfId="0" applyNumberFormat="1" applyFont="1" applyBorder="1" applyAlignment="1" applyProtection="1">
      <alignment horizontal="right" vertical="top" wrapText="1" readingOrder="1"/>
      <protection locked="0"/>
    </xf>
    <xf numFmtId="2" fontId="1" fillId="0" borderId="20" xfId="0" applyNumberFormat="1" applyFont="1" applyBorder="1" applyAlignment="1" applyProtection="1">
      <alignment horizontal="right" vertical="top" wrapText="1" readingOrder="1"/>
      <protection locked="0"/>
    </xf>
    <xf numFmtId="0" fontId="1" fillId="0" borderId="20" xfId="0" applyFont="1" applyBorder="1" applyAlignment="1" applyProtection="1">
      <alignment horizontal="left" vertical="top" wrapText="1" readingOrder="1"/>
      <protection locked="0"/>
    </xf>
    <xf numFmtId="0" fontId="1" fillId="0" borderId="20" xfId="0" applyFont="1" applyBorder="1" applyAlignment="1" applyProtection="1">
      <alignment horizontal="center" vertical="top" wrapText="1" readingOrder="1"/>
      <protection locked="0"/>
    </xf>
    <xf numFmtId="0" fontId="1" fillId="0" borderId="20" xfId="0" applyFont="1" applyBorder="1" applyAlignment="1" applyProtection="1">
      <alignment horizontal="right" vertical="top" wrapText="1" readingOrder="1"/>
      <protection locked="0"/>
    </xf>
    <xf numFmtId="0" fontId="11" fillId="0" borderId="43" xfId="0" applyFont="1" applyBorder="1" applyAlignment="1" applyProtection="1">
      <alignment horizontal="left" vertical="top" wrapText="1" readingOrder="1"/>
      <protection locked="0"/>
    </xf>
    <xf numFmtId="0" fontId="1" fillId="0" borderId="48" xfId="0" applyFont="1" applyBorder="1" applyAlignment="1" applyProtection="1">
      <alignment vertical="top" wrapText="1" readingOrder="1"/>
      <protection locked="0"/>
    </xf>
    <xf numFmtId="0" fontId="1" fillId="0" borderId="49" xfId="0" applyFont="1" applyBorder="1" applyAlignment="1" applyProtection="1">
      <alignment vertical="top" wrapText="1" readingOrder="1"/>
      <protection locked="0"/>
    </xf>
    <xf numFmtId="164" fontId="1" fillId="0" borderId="49" xfId="0" applyNumberFormat="1" applyFont="1" applyBorder="1" applyAlignment="1">
      <alignment horizontal="right" vertical="top" wrapText="1" readingOrder="1"/>
    </xf>
    <xf numFmtId="2" fontId="1" fillId="0" borderId="49" xfId="0" applyNumberFormat="1" applyFont="1" applyBorder="1" applyAlignment="1" applyProtection="1">
      <alignment horizontal="right" vertical="top" wrapText="1" readingOrder="1"/>
      <protection locked="0"/>
    </xf>
    <xf numFmtId="0" fontId="1" fillId="0" borderId="49" xfId="0" applyFont="1" applyBorder="1" applyAlignment="1" applyProtection="1">
      <alignment horizontal="left" vertical="top" wrapText="1" readingOrder="1"/>
      <protection locked="0"/>
    </xf>
    <xf numFmtId="0" fontId="1" fillId="0" borderId="49" xfId="0" applyFont="1" applyBorder="1" applyAlignment="1" applyProtection="1">
      <alignment horizontal="center" vertical="top" wrapText="1" readingOrder="1"/>
      <protection locked="0"/>
    </xf>
    <xf numFmtId="0" fontId="1" fillId="0" borderId="50" xfId="0" applyFont="1" applyBorder="1" applyAlignment="1" applyProtection="1">
      <alignment horizontal="right" vertical="top" wrapText="1" readingOrder="1"/>
      <protection locked="0"/>
    </xf>
    <xf numFmtId="2" fontId="1" fillId="0" borderId="51" xfId="0" applyNumberFormat="1" applyFont="1" applyBorder="1" applyAlignment="1" applyProtection="1">
      <alignment horizontal="right" vertical="top" wrapText="1" readingOrder="1"/>
      <protection locked="0"/>
    </xf>
    <xf numFmtId="0" fontId="11" fillId="0" borderId="44" xfId="0" applyFont="1" applyBorder="1" applyAlignment="1" applyProtection="1">
      <alignment horizontal="left" vertical="top" wrapText="1" readingOrder="1"/>
      <protection locked="0"/>
    </xf>
    <xf numFmtId="0" fontId="1" fillId="0" borderId="52" xfId="0" applyFont="1" applyBorder="1" applyAlignment="1" applyProtection="1">
      <alignment vertical="top" wrapText="1" readingOrder="1"/>
      <protection locked="0"/>
    </xf>
    <xf numFmtId="0" fontId="1" fillId="0" borderId="13" xfId="0" applyFont="1" applyBorder="1" applyAlignment="1" applyProtection="1">
      <alignment horizontal="right" vertical="top" wrapText="1" readingOrder="1"/>
      <protection locked="0"/>
    </xf>
    <xf numFmtId="2" fontId="1" fillId="0" borderId="19" xfId="0" applyNumberFormat="1" applyFont="1" applyBorder="1" applyAlignment="1" applyProtection="1">
      <alignment horizontal="right" vertical="top" wrapText="1" readingOrder="1"/>
      <protection locked="0"/>
    </xf>
    <xf numFmtId="0" fontId="11" fillId="0" borderId="45" xfId="0" applyFont="1" applyBorder="1" applyAlignment="1" applyProtection="1">
      <alignment horizontal="left" vertical="top" wrapText="1" readingOrder="1"/>
      <protection locked="0"/>
    </xf>
    <xf numFmtId="0" fontId="11" fillId="0" borderId="46" xfId="0" applyFont="1" applyBorder="1" applyAlignment="1" applyProtection="1">
      <alignment horizontal="left" vertical="top" wrapText="1" readingOrder="1"/>
      <protection locked="0"/>
    </xf>
    <xf numFmtId="0" fontId="11" fillId="0" borderId="42" xfId="0" applyFont="1" applyBorder="1" applyAlignment="1">
      <alignment vertical="top" wrapText="1"/>
    </xf>
    <xf numFmtId="0" fontId="1" fillId="0" borderId="53" xfId="0" applyFont="1" applyBorder="1" applyAlignment="1" applyProtection="1">
      <alignment vertical="top" wrapText="1" readingOrder="1"/>
      <protection locked="0"/>
    </xf>
    <xf numFmtId="0" fontId="1" fillId="0" borderId="54" xfId="0" applyFont="1" applyBorder="1" applyAlignment="1" applyProtection="1">
      <alignment vertical="top" wrapText="1" readingOrder="1"/>
      <protection locked="0"/>
    </xf>
    <xf numFmtId="164" fontId="1" fillId="0" borderId="54" xfId="0" applyNumberFormat="1" applyFont="1" applyBorder="1" applyAlignment="1" applyProtection="1">
      <alignment horizontal="right" vertical="top" wrapText="1" readingOrder="1"/>
      <protection locked="0"/>
    </xf>
    <xf numFmtId="2" fontId="1" fillId="0" borderId="54" xfId="0" applyNumberFormat="1" applyFont="1" applyBorder="1" applyAlignment="1" applyProtection="1">
      <alignment horizontal="right" vertical="top" wrapText="1" readingOrder="1"/>
      <protection locked="0"/>
    </xf>
    <xf numFmtId="0" fontId="1" fillId="0" borderId="54" xfId="0" applyFont="1" applyBorder="1" applyAlignment="1" applyProtection="1">
      <alignment horizontal="left" vertical="top" wrapText="1" readingOrder="1"/>
      <protection locked="0"/>
    </xf>
    <xf numFmtId="0" fontId="1" fillId="0" borderId="54" xfId="0" applyFont="1" applyBorder="1" applyAlignment="1" applyProtection="1">
      <alignment horizontal="center" vertical="top" wrapText="1" readingOrder="1"/>
      <protection locked="0"/>
    </xf>
    <xf numFmtId="0" fontId="1" fillId="0" borderId="55" xfId="0" applyFont="1" applyBorder="1" applyAlignment="1" applyProtection="1">
      <alignment horizontal="right" vertical="top" wrapText="1" readingOrder="1"/>
      <protection locked="0"/>
    </xf>
    <xf numFmtId="2" fontId="1" fillId="0" borderId="56" xfId="0" applyNumberFormat="1" applyFont="1" applyBorder="1" applyAlignment="1" applyProtection="1">
      <alignment horizontal="right" vertical="top" wrapText="1" readingOrder="1"/>
      <protection locked="0"/>
    </xf>
    <xf numFmtId="0" fontId="11" fillId="0" borderId="47" xfId="0" applyFont="1" applyBorder="1" applyAlignment="1">
      <alignment vertical="center" wrapText="1"/>
    </xf>
    <xf numFmtId="0" fontId="1" fillId="0" borderId="17" xfId="0" applyFont="1" applyBorder="1" applyAlignment="1" applyProtection="1">
      <alignment vertical="top" wrapText="1" readingOrder="1"/>
      <protection locked="0"/>
    </xf>
    <xf numFmtId="0" fontId="1" fillId="0" borderId="15" xfId="0" applyFont="1" applyBorder="1" applyAlignment="1" applyProtection="1">
      <alignment vertical="top" wrapText="1" readingOrder="1"/>
      <protection locked="0"/>
    </xf>
    <xf numFmtId="164" fontId="1" fillId="0" borderId="15" xfId="0" applyNumberFormat="1" applyFont="1" applyBorder="1" applyAlignment="1" applyProtection="1">
      <alignment horizontal="right" vertical="top" wrapText="1" readingOrder="1"/>
      <protection locked="0"/>
    </xf>
    <xf numFmtId="2" fontId="1" fillId="0" borderId="15" xfId="0" applyNumberFormat="1" applyFont="1" applyBorder="1" applyAlignment="1" applyProtection="1">
      <alignment horizontal="right" vertical="top" wrapText="1" readingOrder="1"/>
      <protection locked="0"/>
    </xf>
    <xf numFmtId="0" fontId="1" fillId="0" borderId="15" xfId="0" applyFont="1" applyBorder="1" applyAlignment="1" applyProtection="1">
      <alignment horizontal="left" vertical="top" wrapText="1" readingOrder="1"/>
      <protection locked="0"/>
    </xf>
    <xf numFmtId="0" fontId="1" fillId="0" borderId="15" xfId="0" applyFont="1" applyBorder="1" applyAlignment="1" applyProtection="1">
      <alignment horizontal="center" vertical="top" wrapText="1" readingOrder="1"/>
      <protection locked="0"/>
    </xf>
    <xf numFmtId="0" fontId="1" fillId="0" borderId="15" xfId="0" applyFont="1" applyBorder="1" applyAlignment="1" applyProtection="1">
      <alignment horizontal="right" vertical="top" wrapText="1" readingOrder="1"/>
      <protection locked="0"/>
    </xf>
    <xf numFmtId="0" fontId="11" fillId="0" borderId="5" xfId="0" applyFont="1" applyBorder="1" applyAlignment="1" applyProtection="1">
      <alignment vertical="top" wrapText="1" readingOrder="1"/>
      <protection locked="0"/>
    </xf>
    <xf numFmtId="0" fontId="11" fillId="0" borderId="6" xfId="0" applyFont="1" applyBorder="1" applyAlignment="1" applyProtection="1">
      <alignment vertical="top" wrapText="1" readingOrder="1"/>
      <protection locked="0"/>
    </xf>
    <xf numFmtId="164" fontId="11" fillId="0" borderId="6" xfId="0" applyNumberFormat="1" applyFont="1" applyBorder="1" applyAlignment="1" applyProtection="1">
      <alignment horizontal="right" vertical="top" wrapText="1" readingOrder="1"/>
      <protection locked="0"/>
    </xf>
    <xf numFmtId="0" fontId="1" fillId="0" borderId="0" xfId="0" applyFont="1" applyAlignment="1">
      <alignment horizontal="left" vertical="center" wrapText="1"/>
    </xf>
    <xf numFmtId="0" fontId="11" fillId="0" borderId="24" xfId="0" applyFont="1" applyBorder="1" applyAlignment="1" applyProtection="1">
      <alignment horizontal="left" vertical="top" wrapText="1" readingOrder="1"/>
      <protection locked="0"/>
    </xf>
    <xf numFmtId="2" fontId="1" fillId="0" borderId="18" xfId="0" applyNumberFormat="1" applyFont="1" applyBorder="1" applyAlignment="1" applyProtection="1">
      <alignment horizontal="right" vertical="top" wrapText="1" readingOrder="1"/>
      <protection locked="0"/>
    </xf>
    <xf numFmtId="0" fontId="11" fillId="0" borderId="39" xfId="0" applyFont="1" applyBorder="1" applyAlignment="1" applyProtection="1">
      <alignment horizontal="left" vertical="top" wrapText="1" readingOrder="1"/>
      <protection locked="0"/>
    </xf>
    <xf numFmtId="0" fontId="1" fillId="0" borderId="2" xfId="0" applyFont="1" applyBorder="1" applyAlignment="1" applyProtection="1">
      <alignment vertical="top" wrapText="1" readingOrder="1"/>
      <protection locked="0"/>
    </xf>
    <xf numFmtId="0" fontId="1" fillId="0" borderId="3" xfId="0" applyFont="1" applyBorder="1" applyAlignment="1" applyProtection="1">
      <alignment vertical="top" wrapText="1" readingOrder="1"/>
      <protection locked="0"/>
    </xf>
    <xf numFmtId="164" fontId="1" fillId="0" borderId="3" xfId="0" applyNumberFormat="1" applyFont="1" applyBorder="1" applyAlignment="1" applyProtection="1">
      <alignment horizontal="right" vertical="top" wrapText="1" readingOrder="1"/>
      <protection locked="0"/>
    </xf>
    <xf numFmtId="2" fontId="11" fillId="0" borderId="21" xfId="0" applyNumberFormat="1" applyFont="1" applyBorder="1" applyAlignment="1" applyProtection="1">
      <alignment horizontal="right" vertical="top" wrapText="1" readingOrder="1"/>
      <protection locked="0"/>
    </xf>
    <xf numFmtId="0" fontId="1" fillId="0" borderId="3" xfId="0" applyFont="1" applyBorder="1" applyAlignment="1" applyProtection="1">
      <alignment horizontal="left" vertical="top" wrapText="1" readingOrder="1"/>
      <protection locked="0"/>
    </xf>
    <xf numFmtId="0" fontId="1" fillId="0" borderId="3" xfId="0" applyFont="1" applyBorder="1" applyAlignment="1" applyProtection="1">
      <alignment horizontal="center" vertical="top" wrapText="1" readingOrder="1"/>
      <protection locked="0"/>
    </xf>
    <xf numFmtId="0" fontId="1" fillId="0" borderId="3" xfId="0" applyFont="1" applyBorder="1" applyAlignment="1" applyProtection="1">
      <alignment horizontal="right" vertical="top" wrapText="1" readingOrder="1"/>
      <protection locked="0"/>
    </xf>
    <xf numFmtId="2" fontId="1" fillId="0" borderId="3" xfId="0" applyNumberFormat="1" applyFont="1" applyBorder="1" applyAlignment="1" applyProtection="1">
      <alignment horizontal="right" vertical="top" wrapText="1" readingOrder="1"/>
      <protection locked="0"/>
    </xf>
    <xf numFmtId="0" fontId="11" fillId="0" borderId="4" xfId="0" applyFont="1" applyBorder="1" applyAlignment="1" applyProtection="1">
      <alignment horizontal="left" vertical="top" wrapText="1" readingOrder="1"/>
      <protection locked="0"/>
    </xf>
    <xf numFmtId="0" fontId="11" fillId="0" borderId="41" xfId="0" applyFont="1" applyBorder="1" applyAlignment="1">
      <alignment horizontal="left" vertical="top" wrapText="1"/>
    </xf>
    <xf numFmtId="1" fontId="11" fillId="0" borderId="57" xfId="0" applyNumberFormat="1" applyFont="1" applyBorder="1" applyAlignment="1">
      <alignment vertical="top" wrapText="1"/>
    </xf>
    <xf numFmtId="1" fontId="11" fillId="0" borderId="58" xfId="0" applyNumberFormat="1" applyFont="1" applyBorder="1" applyAlignment="1">
      <alignment vertical="center" wrapText="1"/>
    </xf>
    <xf numFmtId="0" fontId="11" fillId="0" borderId="60" xfId="0" applyFont="1" applyBorder="1" applyAlignment="1" applyProtection="1">
      <alignment horizontal="left" vertical="top" wrapText="1" readingOrder="1"/>
      <protection locked="0"/>
    </xf>
    <xf numFmtId="0" fontId="1" fillId="2" borderId="15" xfId="0" applyFont="1" applyFill="1" applyBorder="1" applyAlignment="1" applyProtection="1">
      <alignment horizontal="right" vertical="top" wrapText="1" readingOrder="1"/>
      <protection locked="0"/>
    </xf>
    <xf numFmtId="0" fontId="11" fillId="2" borderId="6" xfId="0" applyFont="1" applyFill="1" applyBorder="1" applyAlignment="1" applyProtection="1">
      <alignment horizontal="right" vertical="top" wrapText="1" readingOrder="1"/>
      <protection locked="0"/>
    </xf>
    <xf numFmtId="2" fontId="11" fillId="2" borderId="6" xfId="0" applyNumberFormat="1" applyFont="1" applyFill="1" applyBorder="1" applyAlignment="1" applyProtection="1">
      <alignment horizontal="right" vertical="top" wrapText="1" readingOrder="1"/>
      <protection locked="0"/>
    </xf>
    <xf numFmtId="0" fontId="1" fillId="8" borderId="5" xfId="0" applyFont="1" applyFill="1" applyBorder="1" applyAlignment="1" applyProtection="1">
      <alignment vertical="top" wrapText="1" readingOrder="1"/>
      <protection locked="0"/>
    </xf>
    <xf numFmtId="0" fontId="1" fillId="8" borderId="6" xfId="0" applyFont="1" applyFill="1" applyBorder="1" applyAlignment="1" applyProtection="1">
      <alignment vertical="top" wrapText="1" readingOrder="1"/>
      <protection locked="0"/>
    </xf>
    <xf numFmtId="164" fontId="1" fillId="8" borderId="6" xfId="0" applyNumberFormat="1" applyFont="1" applyFill="1" applyBorder="1" applyAlignment="1">
      <alignment horizontal="right" vertical="top" wrapText="1" readingOrder="1"/>
    </xf>
    <xf numFmtId="2" fontId="11" fillId="8" borderId="6" xfId="0" applyNumberFormat="1" applyFont="1" applyFill="1" applyBorder="1" applyAlignment="1" applyProtection="1">
      <alignment horizontal="right" vertical="top" wrapText="1" readingOrder="1"/>
      <protection locked="0"/>
    </xf>
    <xf numFmtId="0" fontId="1" fillId="8" borderId="6" xfId="0" applyFont="1" applyFill="1" applyBorder="1" applyAlignment="1" applyProtection="1">
      <alignment horizontal="left" vertical="top" wrapText="1" readingOrder="1"/>
      <protection locked="0"/>
    </xf>
    <xf numFmtId="0" fontId="1" fillId="8" borderId="6" xfId="0" applyFont="1" applyFill="1" applyBorder="1" applyAlignment="1" applyProtection="1">
      <alignment horizontal="center" vertical="top" wrapText="1" readingOrder="1"/>
      <protection locked="0"/>
    </xf>
    <xf numFmtId="0" fontId="1" fillId="8" borderId="6" xfId="0" applyFont="1" applyFill="1" applyBorder="1" applyAlignment="1" applyProtection="1">
      <alignment horizontal="right" vertical="top" wrapText="1" readingOrder="1"/>
      <protection locked="0"/>
    </xf>
    <xf numFmtId="2" fontId="1" fillId="8" borderId="6" xfId="0" applyNumberFormat="1" applyFont="1" applyFill="1" applyBorder="1" applyAlignment="1" applyProtection="1">
      <alignment horizontal="right" vertical="top" wrapText="1" readingOrder="1"/>
      <protection locked="0"/>
    </xf>
    <xf numFmtId="0" fontId="11" fillId="8" borderId="24" xfId="0" applyFont="1" applyFill="1" applyBorder="1" applyAlignment="1" applyProtection="1">
      <alignment horizontal="left" vertical="top" wrapText="1" readingOrder="1"/>
      <protection locked="0"/>
    </xf>
    <xf numFmtId="0" fontId="1" fillId="8" borderId="8" xfId="0" applyFont="1" applyFill="1" applyBorder="1" applyAlignment="1" applyProtection="1">
      <alignment vertical="top" wrapText="1" readingOrder="1"/>
      <protection locked="0"/>
    </xf>
    <xf numFmtId="0" fontId="1" fillId="8" borderId="1" xfId="0" applyFont="1" applyFill="1" applyBorder="1" applyAlignment="1" applyProtection="1">
      <alignment vertical="top" wrapText="1" readingOrder="1"/>
      <protection locked="0"/>
    </xf>
    <xf numFmtId="164" fontId="1" fillId="8" borderId="1" xfId="0" applyNumberFormat="1" applyFont="1" applyFill="1" applyBorder="1" applyAlignment="1" applyProtection="1">
      <alignment horizontal="right" vertical="top" wrapText="1" readingOrder="1"/>
      <protection locked="0"/>
    </xf>
    <xf numFmtId="2" fontId="1" fillId="8" borderId="1" xfId="0" applyNumberFormat="1" applyFont="1" applyFill="1" applyBorder="1" applyAlignment="1" applyProtection="1">
      <alignment horizontal="right" vertical="top" wrapText="1" readingOrder="1"/>
      <protection locked="0"/>
    </xf>
    <xf numFmtId="0" fontId="1" fillId="8" borderId="1" xfId="0" applyFont="1" applyFill="1" applyBorder="1" applyAlignment="1" applyProtection="1">
      <alignment horizontal="left" vertical="top" wrapText="1" readingOrder="1"/>
      <protection locked="0"/>
    </xf>
    <xf numFmtId="0" fontId="1" fillId="8" borderId="1" xfId="0" applyFont="1" applyFill="1" applyBorder="1" applyAlignment="1" applyProtection="1">
      <alignment horizontal="center" vertical="top" wrapText="1" readingOrder="1"/>
      <protection locked="0"/>
    </xf>
    <xf numFmtId="0" fontId="1" fillId="8" borderId="1" xfId="0" applyFont="1" applyFill="1" applyBorder="1" applyAlignment="1" applyProtection="1">
      <alignment horizontal="right" vertical="top" wrapText="1" readingOrder="1"/>
      <protection locked="0"/>
    </xf>
    <xf numFmtId="0" fontId="11" fillId="8" borderId="59" xfId="0" applyFont="1" applyFill="1" applyBorder="1" applyAlignment="1" applyProtection="1">
      <alignment horizontal="left" vertical="top" wrapText="1" readingOrder="1"/>
      <protection locked="0"/>
    </xf>
    <xf numFmtId="0" fontId="11" fillId="8" borderId="25" xfId="0" applyFont="1" applyFill="1" applyBorder="1" applyAlignment="1" applyProtection="1">
      <alignment horizontal="left" vertical="top" wrapText="1" readingOrder="1"/>
      <protection locked="0"/>
    </xf>
    <xf numFmtId="0" fontId="1" fillId="9" borderId="5" xfId="0" applyFont="1" applyFill="1" applyBorder="1" applyAlignment="1" applyProtection="1">
      <alignment vertical="top" wrapText="1" readingOrder="1"/>
      <protection locked="0"/>
    </xf>
    <xf numFmtId="0" fontId="1" fillId="9" borderId="6" xfId="0" applyFont="1" applyFill="1" applyBorder="1" applyAlignment="1" applyProtection="1">
      <alignment vertical="top" wrapText="1" readingOrder="1"/>
      <protection locked="0"/>
    </xf>
    <xf numFmtId="164" fontId="1" fillId="9" borderId="6" xfId="0" applyNumberFormat="1" applyFont="1" applyFill="1" applyBorder="1" applyAlignment="1">
      <alignment horizontal="right" vertical="top" wrapText="1" readingOrder="1"/>
    </xf>
    <xf numFmtId="2" fontId="11" fillId="9" borderId="6" xfId="0" applyNumberFormat="1" applyFont="1" applyFill="1" applyBorder="1" applyAlignment="1" applyProtection="1">
      <alignment horizontal="right" vertical="top" wrapText="1" readingOrder="1"/>
      <protection locked="0"/>
    </xf>
    <xf numFmtId="0" fontId="1" fillId="9" borderId="6" xfId="0" applyFont="1" applyFill="1" applyBorder="1" applyAlignment="1" applyProtection="1">
      <alignment horizontal="left" vertical="top" wrapText="1" readingOrder="1"/>
      <protection locked="0"/>
    </xf>
    <xf numFmtId="0" fontId="1" fillId="9" borderId="6" xfId="0" applyFont="1" applyFill="1" applyBorder="1" applyAlignment="1" applyProtection="1">
      <alignment horizontal="center" vertical="top" wrapText="1" readingOrder="1"/>
      <protection locked="0"/>
    </xf>
    <xf numFmtId="0" fontId="1" fillId="9" borderId="6" xfId="0" applyFont="1" applyFill="1" applyBorder="1" applyAlignment="1" applyProtection="1">
      <alignment horizontal="right" vertical="top" wrapText="1" readingOrder="1"/>
      <protection locked="0"/>
    </xf>
    <xf numFmtId="2" fontId="1" fillId="9" borderId="6" xfId="0" applyNumberFormat="1" applyFont="1" applyFill="1" applyBorder="1" applyAlignment="1" applyProtection="1">
      <alignment horizontal="right" vertical="top" wrapText="1" readingOrder="1"/>
      <protection locked="0"/>
    </xf>
    <xf numFmtId="0" fontId="11" fillId="9" borderId="7" xfId="0" applyFont="1" applyFill="1" applyBorder="1" applyAlignment="1" applyProtection="1">
      <alignment horizontal="left" vertical="top" wrapText="1" readingOrder="1"/>
      <protection locked="0"/>
    </xf>
    <xf numFmtId="0" fontId="1" fillId="9" borderId="8" xfId="0" applyFont="1" applyFill="1" applyBorder="1" applyAlignment="1" applyProtection="1">
      <alignment vertical="top" wrapText="1" readingOrder="1"/>
      <protection locked="0"/>
    </xf>
    <xf numFmtId="0" fontId="1" fillId="9" borderId="1" xfId="0" applyFont="1" applyFill="1" applyBorder="1" applyAlignment="1" applyProtection="1">
      <alignment vertical="top" wrapText="1" readingOrder="1"/>
      <protection locked="0"/>
    </xf>
    <xf numFmtId="164" fontId="1" fillId="9" borderId="1" xfId="0" applyNumberFormat="1" applyFont="1" applyFill="1" applyBorder="1" applyAlignment="1" applyProtection="1">
      <alignment horizontal="right" vertical="top" wrapText="1" readingOrder="1"/>
      <protection locked="0"/>
    </xf>
    <xf numFmtId="2" fontId="1" fillId="9" borderId="1" xfId="0" applyNumberFormat="1" applyFont="1" applyFill="1" applyBorder="1" applyAlignment="1" applyProtection="1">
      <alignment horizontal="right" vertical="top" wrapText="1" readingOrder="1"/>
      <protection locked="0"/>
    </xf>
    <xf numFmtId="0" fontId="1" fillId="9" borderId="1" xfId="0" applyFont="1" applyFill="1" applyBorder="1" applyAlignment="1" applyProtection="1">
      <alignment horizontal="left" vertical="top" wrapText="1" readingOrder="1"/>
      <protection locked="0"/>
    </xf>
    <xf numFmtId="0" fontId="1" fillId="9" borderId="1" xfId="0" applyFont="1" applyFill="1" applyBorder="1" applyAlignment="1" applyProtection="1">
      <alignment horizontal="center" vertical="top" wrapText="1" readingOrder="1"/>
      <protection locked="0"/>
    </xf>
    <xf numFmtId="0" fontId="1" fillId="9" borderId="1" xfId="0" applyFont="1" applyFill="1" applyBorder="1" applyAlignment="1" applyProtection="1">
      <alignment horizontal="right" vertical="top" wrapText="1" readingOrder="1"/>
      <protection locked="0"/>
    </xf>
    <xf numFmtId="0" fontId="11" fillId="9" borderId="9" xfId="0" applyFont="1" applyFill="1" applyBorder="1" applyAlignment="1" applyProtection="1">
      <alignment horizontal="left" vertical="top" wrapText="1" readingOrder="1"/>
      <protection locked="0"/>
    </xf>
    <xf numFmtId="164" fontId="1" fillId="9" borderId="6" xfId="0" applyNumberFormat="1" applyFont="1" applyFill="1" applyBorder="1" applyAlignment="1" applyProtection="1">
      <alignment horizontal="right" vertical="top" wrapText="1" readingOrder="1"/>
      <protection locked="0"/>
    </xf>
    <xf numFmtId="0" fontId="11" fillId="9" borderId="5" xfId="0" applyFont="1" applyFill="1" applyBorder="1" applyAlignment="1" applyProtection="1">
      <alignment vertical="top" wrapText="1" readingOrder="1"/>
      <protection locked="0"/>
    </xf>
    <xf numFmtId="0" fontId="11" fillId="9" borderId="6" xfId="0" applyFont="1" applyFill="1" applyBorder="1" applyAlignment="1" applyProtection="1">
      <alignment vertical="top" wrapText="1" readingOrder="1"/>
      <protection locked="0"/>
    </xf>
    <xf numFmtId="2" fontId="11" fillId="9" borderId="14" xfId="0" applyNumberFormat="1" applyFont="1" applyFill="1" applyBorder="1" applyAlignment="1" applyProtection="1">
      <alignment horizontal="right" vertical="top" wrapText="1" readingOrder="1"/>
      <protection locked="0"/>
    </xf>
    <xf numFmtId="0" fontId="11" fillId="9" borderId="8" xfId="0" applyFont="1" applyFill="1" applyBorder="1" applyAlignment="1" applyProtection="1">
      <alignment vertical="top" wrapText="1" readingOrder="1"/>
      <protection locked="0"/>
    </xf>
    <xf numFmtId="0" fontId="11" fillId="9" borderId="1" xfId="0" applyFont="1" applyFill="1" applyBorder="1" applyAlignment="1" applyProtection="1">
      <alignment vertical="top" wrapText="1" readingOrder="1"/>
      <protection locked="0"/>
    </xf>
    <xf numFmtId="2" fontId="11" fillId="9" borderId="15" xfId="0" applyNumberFormat="1" applyFont="1" applyFill="1" applyBorder="1" applyAlignment="1" applyProtection="1">
      <alignment horizontal="right" vertical="top" wrapText="1" readingOrder="1"/>
      <protection locked="0"/>
    </xf>
    <xf numFmtId="0" fontId="6" fillId="0" borderId="0" xfId="0" applyFont="1" applyAlignment="1">
      <alignment horizontal="left"/>
    </xf>
    <xf numFmtId="0" fontId="4" fillId="0" borderId="0" xfId="0" applyFont="1" applyAlignment="1">
      <alignment horizontal="left"/>
    </xf>
    <xf numFmtId="0" fontId="3" fillId="0" borderId="0" xfId="0" applyFont="1" applyAlignment="1">
      <alignment horizontal="center"/>
    </xf>
    <xf numFmtId="0" fontId="4" fillId="0" borderId="0" xfId="0" applyFont="1" applyAlignment="1">
      <alignment horizontal="center"/>
    </xf>
    <xf numFmtId="0" fontId="5" fillId="0" borderId="0" xfId="0" applyFont="1" applyAlignment="1">
      <alignment wrapText="1"/>
    </xf>
    <xf numFmtId="0" fontId="3" fillId="0" borderId="0" xfId="0" applyFont="1" applyAlignment="1">
      <alignment horizontal="left"/>
    </xf>
    <xf numFmtId="0" fontId="5" fillId="0" borderId="0" xfId="0" applyFont="1" applyAlignment="1">
      <alignment horizontal="left"/>
    </xf>
    <xf numFmtId="0" fontId="15" fillId="0" borderId="28" xfId="0" applyFont="1" applyBorder="1" applyAlignment="1">
      <alignment horizontal="center" wrapText="1" readingOrder="1"/>
    </xf>
    <xf numFmtId="0" fontId="15" fillId="0" borderId="31" xfId="0" applyFont="1" applyBorder="1" applyAlignment="1">
      <alignment horizontal="center" wrapText="1" readingOrder="1"/>
    </xf>
    <xf numFmtId="0" fontId="15" fillId="0" borderId="35" xfId="0" applyFont="1" applyBorder="1" applyAlignment="1">
      <alignment horizontal="center" wrapText="1" readingOrder="1"/>
    </xf>
    <xf numFmtId="0" fontId="2" fillId="0" borderId="0" xfId="0" applyFont="1" applyAlignment="1">
      <alignment horizontal="center" wrapText="1"/>
    </xf>
    <xf numFmtId="0" fontId="2" fillId="0" borderId="20" xfId="0" applyFont="1" applyBorder="1" applyAlignment="1">
      <alignment horizontal="center" textRotation="90" wrapText="1" readingOrder="1"/>
    </xf>
    <xf numFmtId="0" fontId="2" fillId="0" borderId="23" xfId="0" applyFont="1" applyBorder="1" applyAlignment="1">
      <alignment horizontal="center" textRotation="90" wrapText="1" readingOrder="1"/>
    </xf>
    <xf numFmtId="0" fontId="2" fillId="0" borderId="33" xfId="0" applyFont="1" applyBorder="1" applyAlignment="1">
      <alignment horizontal="center" textRotation="90" wrapText="1" readingOrder="1"/>
    </xf>
    <xf numFmtId="0" fontId="2" fillId="0" borderId="1" xfId="0" applyFont="1" applyBorder="1" applyAlignment="1">
      <alignment horizontal="center" wrapText="1" readingOrder="1"/>
    </xf>
    <xf numFmtId="0" fontId="2" fillId="0" borderId="10" xfId="0" applyFont="1" applyBorder="1" applyAlignment="1">
      <alignment horizontal="center" wrapText="1" readingOrder="1"/>
    </xf>
    <xf numFmtId="0" fontId="2" fillId="0" borderId="11" xfId="0" applyFont="1" applyBorder="1" applyAlignment="1">
      <alignment horizontal="center" wrapText="1" readingOrder="1"/>
    </xf>
    <xf numFmtId="0" fontId="2" fillId="0" borderId="12" xfId="0" applyFont="1" applyBorder="1" applyAlignment="1">
      <alignment horizontal="center" wrapText="1" readingOrder="1"/>
    </xf>
    <xf numFmtId="0" fontId="2" fillId="0" borderId="27" xfId="0" applyFont="1" applyBorder="1" applyAlignment="1">
      <alignment horizontal="center" wrapText="1" readingOrder="1"/>
    </xf>
    <xf numFmtId="0" fontId="2" fillId="0" borderId="13" xfId="0" applyFont="1" applyBorder="1" applyAlignment="1">
      <alignment horizontal="center" wrapText="1" readingOrder="1"/>
    </xf>
    <xf numFmtId="0" fontId="2" fillId="0" borderId="30" xfId="0" applyFont="1" applyBorder="1" applyAlignment="1">
      <alignment horizontal="center" wrapText="1" readingOrder="1"/>
    </xf>
    <xf numFmtId="0" fontId="2" fillId="0" borderId="26" xfId="0" applyFont="1" applyBorder="1" applyAlignment="1">
      <alignment horizontal="center" wrapText="1" readingOrder="1"/>
    </xf>
    <xf numFmtId="0" fontId="2" fillId="0" borderId="29" xfId="0" applyFont="1" applyBorder="1" applyAlignment="1">
      <alignment horizontal="center" wrapText="1" readingOrder="1"/>
    </xf>
    <xf numFmtId="0" fontId="2" fillId="0" borderId="32" xfId="0" applyFont="1" applyBorder="1" applyAlignment="1">
      <alignment horizontal="center" wrapText="1" readingOrder="1"/>
    </xf>
    <xf numFmtId="0" fontId="2" fillId="0" borderId="20" xfId="0" applyFont="1" applyBorder="1" applyAlignment="1">
      <alignment horizontal="center" wrapText="1" readingOrder="1"/>
    </xf>
    <xf numFmtId="0" fontId="2" fillId="0" borderId="23" xfId="0" applyFont="1" applyBorder="1" applyAlignment="1">
      <alignment horizontal="center" wrapText="1" readingOrder="1"/>
    </xf>
    <xf numFmtId="0" fontId="2" fillId="0" borderId="33" xfId="0" applyFont="1" applyBorder="1" applyAlignment="1">
      <alignment horizontal="center" wrapText="1" readingOrder="1"/>
    </xf>
    <xf numFmtId="0" fontId="2" fillId="0" borderId="6" xfId="0" applyFont="1" applyBorder="1" applyAlignment="1">
      <alignment horizontal="center" wrapText="1" readingOrder="1"/>
    </xf>
  </cellXfs>
  <cellStyles count="1">
    <cellStyle name="Įprastas" xfId="0" builtinId="0"/>
  </cellStyles>
  <dxfs count="0"/>
  <tableStyles count="0" defaultTableStyle="TableStyleMedium2" defaultPivotStyle="PivotStyleLight16"/>
  <colors>
    <mruColors>
      <color rgb="FF99FF99"/>
      <color rgb="FFA8FFA1"/>
      <color rgb="FFB6FEA2"/>
      <color rgb="FFBBFDA3"/>
      <color rgb="FFA4FCAE"/>
      <color rgb="FFE4E4E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lt-L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lt-LT" sz="1400" b="1" i="0" u="none" strike="noStrike" kern="1200" cap="none" spc="20" baseline="0">
                <a:solidFill>
                  <a:sysClr val="windowText" lastClr="000000"/>
                </a:solidFill>
                <a:effectLst/>
                <a:latin typeface="Times New Roman" panose="02020603050405020304" pitchFamily="18" charset="0"/>
                <a:cs typeface="Times New Roman" panose="02020603050405020304" pitchFamily="18" charset="0"/>
              </a:rPr>
              <a:t>2025 m. SVP 001 programos įvykdymas</a:t>
            </a:r>
            <a:endParaRPr lang="lt-LT" sz="1400" b="0" i="0" u="none" strike="noStrike" kern="1200" cap="none" spc="20" baseline="0">
              <a:solidFill>
                <a:sysClr val="windowText" lastClr="000000">
                  <a:lumMod val="50000"/>
                  <a:lumOff val="50000"/>
                </a:sysClr>
              </a:solidFill>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lt-LT"/>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explosion val="15"/>
          <c:dPt>
            <c:idx val="0"/>
            <c:bubble3D val="0"/>
            <c:spPr>
              <a:solidFill>
                <a:schemeClr val="bg1"/>
              </a:solidFill>
              <a:ln w="25400">
                <a:solidFill>
                  <a:schemeClr val="lt1"/>
                </a:solidFill>
              </a:ln>
              <a:effectLst/>
              <a:sp3d contourW="25400">
                <a:contourClr>
                  <a:schemeClr val="lt1"/>
                </a:contourClr>
              </a:sp3d>
            </c:spPr>
            <c:extLst>
              <c:ext xmlns:c16="http://schemas.microsoft.com/office/drawing/2014/chart" uri="{C3380CC4-5D6E-409C-BE32-E72D297353CC}">
                <c16:uniqueId val="{00000001-D106-4CE3-99CF-26EDA8D2EB88}"/>
              </c:ext>
            </c:extLst>
          </c:dPt>
          <c:dPt>
            <c:idx val="1"/>
            <c:bubble3D val="0"/>
            <c:spPr>
              <a:solidFill>
                <a:srgbClr val="A8FFA1"/>
              </a:solidFill>
              <a:ln w="25400">
                <a:solidFill>
                  <a:schemeClr val="lt1"/>
                </a:solidFill>
              </a:ln>
              <a:effectLst/>
              <a:sp3d contourW="25400">
                <a:contourClr>
                  <a:schemeClr val="lt1"/>
                </a:contourClr>
              </a:sp3d>
            </c:spPr>
            <c:extLst>
              <c:ext xmlns:c16="http://schemas.microsoft.com/office/drawing/2014/chart" uri="{C3380CC4-5D6E-409C-BE32-E72D297353CC}">
                <c16:uniqueId val="{00000002-D106-4CE3-99CF-26EDA8D2EB88}"/>
              </c:ext>
            </c:extLst>
          </c:dPt>
          <c:dPt>
            <c:idx val="2"/>
            <c:bubble3D val="0"/>
            <c:spPr>
              <a:solidFill>
                <a:schemeClr val="accent2">
                  <a:lumMod val="40000"/>
                  <a:lumOff val="6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3-D106-4CE3-99CF-26EDA8D2EB88}"/>
              </c:ext>
            </c:extLst>
          </c:dPt>
          <c:dLbls>
            <c:dLbl>
              <c:idx val="1"/>
              <c:layout>
                <c:manualLayout>
                  <c:x val="-3.6833989501312337E-3"/>
                  <c:y val="-2.1857684456109652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D106-4CE3-99CF-26EDA8D2EB88}"/>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Times New Roman" panose="02020603050405020304" pitchFamily="18" charset="0"/>
                    <a:ea typeface="+mn-ea"/>
                    <a:cs typeface="Times New Roman" panose="02020603050405020304" pitchFamily="18" charset="0"/>
                  </a:defRPr>
                </a:pPr>
                <a:endParaRPr lang="lt-LT"/>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Aprašymas!$C$23:$C$25</c:f>
              <c:strCache>
                <c:ptCount val="3"/>
                <c:pt idx="0">
                  <c:v>Faktiškai įvykdyta</c:v>
                </c:pt>
                <c:pt idx="1">
                  <c:v>Iš dalies įvykdyta</c:v>
                </c:pt>
                <c:pt idx="2">
                  <c:v>Neįvykdyta</c:v>
                </c:pt>
              </c:strCache>
            </c:strRef>
          </c:cat>
          <c:val>
            <c:numRef>
              <c:f>Aprašymas!$D$23:$D$25</c:f>
              <c:numCache>
                <c:formatCode>General</c:formatCode>
                <c:ptCount val="3"/>
                <c:pt idx="0">
                  <c:v>49</c:v>
                </c:pt>
                <c:pt idx="1">
                  <c:v>5</c:v>
                </c:pt>
                <c:pt idx="2">
                  <c:v>0</c:v>
                </c:pt>
              </c:numCache>
            </c:numRef>
          </c:val>
          <c:extLst>
            <c:ext xmlns:c16="http://schemas.microsoft.com/office/drawing/2014/chart" uri="{C3380CC4-5D6E-409C-BE32-E72D297353CC}">
              <c16:uniqueId val="{00000000-D106-4CE3-99CF-26EDA8D2EB88}"/>
            </c:ext>
          </c:extLst>
        </c:ser>
        <c:dLbls>
          <c:showLegendKey val="0"/>
          <c:showVal val="0"/>
          <c:showCatName val="0"/>
          <c:showSerName val="0"/>
          <c:showPercent val="0"/>
          <c:showBubbleSize val="0"/>
          <c:showLeaderLines val="1"/>
        </c:dLbls>
      </c:pie3D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lt-LT"/>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600075</xdr:colOff>
      <xdr:row>20</xdr:row>
      <xdr:rowOff>185737</xdr:rowOff>
    </xdr:from>
    <xdr:to>
      <xdr:col>8</xdr:col>
      <xdr:colOff>295275</xdr:colOff>
      <xdr:row>33</xdr:row>
      <xdr:rowOff>71437</xdr:rowOff>
    </xdr:to>
    <xdr:graphicFrame macro="">
      <xdr:nvGraphicFramePr>
        <xdr:cNvPr id="3" name="Diagrama 2">
          <a:extLst>
            <a:ext uri="{FF2B5EF4-FFF2-40B4-BE49-F238E27FC236}">
              <a16:creationId xmlns:a16="http://schemas.microsoft.com/office/drawing/2014/main" id="{68F3D439-9F6E-A6DC-EBDC-AE3310917A6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F5B376-9370-46C5-9BD4-4F19C0F89EE7}">
  <dimension ref="A1:M215"/>
  <sheetViews>
    <sheetView topLeftCell="A10" workbookViewId="0">
      <selection activeCell="A3" sqref="A3"/>
    </sheetView>
  </sheetViews>
  <sheetFormatPr defaultRowHeight="15" x14ac:dyDescent="0.25"/>
  <sheetData>
    <row r="1" spans="1:13" ht="15.75" x14ac:dyDescent="0.25">
      <c r="A1" s="222" t="s">
        <v>344</v>
      </c>
      <c r="B1" s="223"/>
      <c r="C1" s="223"/>
      <c r="D1" s="223"/>
      <c r="E1" s="223"/>
      <c r="F1" s="223"/>
      <c r="G1" s="223"/>
      <c r="H1" s="223"/>
      <c r="I1" s="223"/>
      <c r="J1" s="223"/>
      <c r="K1" s="223"/>
      <c r="L1" s="223"/>
      <c r="M1" s="223"/>
    </row>
    <row r="2" spans="1:13" ht="15.75" x14ac:dyDescent="0.25">
      <c r="A2" s="222" t="s">
        <v>332</v>
      </c>
      <c r="B2" s="223"/>
      <c r="C2" s="223"/>
      <c r="D2" s="223"/>
      <c r="E2" s="223"/>
      <c r="F2" s="223"/>
      <c r="G2" s="223"/>
      <c r="H2" s="223"/>
      <c r="I2" s="223"/>
      <c r="J2" s="223"/>
      <c r="K2" s="223"/>
      <c r="L2" s="223"/>
      <c r="M2" s="223"/>
    </row>
    <row r="3" spans="1:13" ht="15.75" x14ac:dyDescent="0.25">
      <c r="A3" s="65"/>
      <c r="B3" s="65"/>
      <c r="C3" s="65"/>
      <c r="D3" s="65"/>
      <c r="E3" s="65"/>
      <c r="F3" s="65"/>
      <c r="G3" s="65"/>
      <c r="H3" s="65"/>
      <c r="I3" s="65"/>
      <c r="J3" s="65"/>
      <c r="K3" s="65"/>
      <c r="L3" s="65"/>
      <c r="M3" s="65"/>
    </row>
    <row r="4" spans="1:13" ht="15.75" x14ac:dyDescent="0.25">
      <c r="A4" s="221" t="s">
        <v>333</v>
      </c>
      <c r="B4" s="221"/>
      <c r="C4" s="221"/>
      <c r="D4" s="221"/>
      <c r="E4" s="221"/>
      <c r="F4" s="221"/>
      <c r="G4" s="221"/>
      <c r="H4" s="221"/>
      <c r="I4" s="221"/>
      <c r="J4" s="221"/>
      <c r="K4" s="221"/>
      <c r="L4" s="221"/>
      <c r="M4" s="221"/>
    </row>
    <row r="5" spans="1:13" ht="15.75" x14ac:dyDescent="0.25">
      <c r="A5" s="65"/>
      <c r="B5" s="65"/>
      <c r="C5" s="65"/>
      <c r="D5" s="65"/>
      <c r="E5" s="65"/>
      <c r="F5" s="65"/>
      <c r="G5" s="65"/>
      <c r="H5" s="65"/>
      <c r="I5" s="65"/>
      <c r="J5" s="65"/>
      <c r="K5" s="65"/>
      <c r="L5" s="65"/>
      <c r="M5" s="65"/>
    </row>
    <row r="6" spans="1:13" ht="126" customHeight="1" x14ac:dyDescent="0.25">
      <c r="A6" s="224" t="s">
        <v>423</v>
      </c>
      <c r="B6" s="224"/>
      <c r="C6" s="224"/>
      <c r="D6" s="224"/>
      <c r="E6" s="224"/>
      <c r="F6" s="224"/>
      <c r="G6" s="224"/>
      <c r="H6" s="224"/>
      <c r="I6" s="224"/>
      <c r="J6" s="224"/>
      <c r="K6" s="224"/>
      <c r="L6" s="224"/>
      <c r="M6" s="224"/>
    </row>
    <row r="7" spans="1:13" ht="15.75" x14ac:dyDescent="0.25">
      <c r="A7" s="65"/>
      <c r="B7" s="65"/>
      <c r="C7" s="65"/>
      <c r="D7" s="65"/>
      <c r="E7" s="65"/>
      <c r="F7" s="65"/>
      <c r="G7" s="65"/>
      <c r="H7" s="65"/>
      <c r="I7" s="65"/>
      <c r="J7" s="65"/>
      <c r="K7" s="65"/>
      <c r="L7" s="65"/>
      <c r="M7" s="65"/>
    </row>
    <row r="8" spans="1:13" ht="15.75" x14ac:dyDescent="0.25">
      <c r="A8" s="225" t="s">
        <v>345</v>
      </c>
      <c r="B8" s="225"/>
      <c r="C8" s="225"/>
      <c r="D8" s="225"/>
      <c r="E8" s="225"/>
      <c r="F8" s="225"/>
      <c r="G8" s="65"/>
      <c r="H8" s="65"/>
      <c r="I8" s="65"/>
      <c r="J8" s="65"/>
      <c r="K8" s="65"/>
      <c r="L8" s="65"/>
      <c r="M8" s="65"/>
    </row>
    <row r="9" spans="1:13" ht="15.75" x14ac:dyDescent="0.25">
      <c r="A9" s="220" t="s">
        <v>334</v>
      </c>
      <c r="B9" s="221"/>
      <c r="C9" s="221"/>
      <c r="D9" s="221"/>
      <c r="E9" s="221"/>
      <c r="F9" s="221"/>
      <c r="G9" s="221"/>
      <c r="H9" s="221"/>
      <c r="I9" s="221"/>
      <c r="J9" s="221"/>
      <c r="K9" s="221"/>
      <c r="L9" s="221"/>
      <c r="M9" s="65"/>
    </row>
    <row r="10" spans="1:13" ht="15.75" x14ac:dyDescent="0.25">
      <c r="A10" s="226" t="s">
        <v>335</v>
      </c>
      <c r="B10" s="226"/>
      <c r="C10" s="226"/>
      <c r="D10" s="226"/>
      <c r="E10" s="226"/>
      <c r="F10" s="226"/>
      <c r="G10" s="226"/>
      <c r="H10" s="226"/>
      <c r="I10" s="226"/>
      <c r="J10" s="226"/>
      <c r="K10" s="226"/>
      <c r="L10" s="226"/>
      <c r="M10" s="65"/>
    </row>
    <row r="11" spans="1:13" ht="15.75" x14ac:dyDescent="0.25">
      <c r="A11" s="221" t="s">
        <v>336</v>
      </c>
      <c r="B11" s="221"/>
      <c r="C11" s="221"/>
      <c r="D11" s="221"/>
      <c r="E11" s="221"/>
      <c r="F11" s="221"/>
      <c r="G11" s="221"/>
      <c r="H11" s="221"/>
      <c r="I11" s="221"/>
      <c r="J11" s="221"/>
      <c r="K11" s="221"/>
      <c r="L11" s="221"/>
      <c r="M11" s="65"/>
    </row>
    <row r="12" spans="1:13" ht="15.75" x14ac:dyDescent="0.25">
      <c r="A12" s="221" t="s">
        <v>337</v>
      </c>
      <c r="B12" s="221"/>
      <c r="C12" s="221"/>
      <c r="D12" s="221"/>
      <c r="E12" s="221"/>
      <c r="F12" s="221"/>
      <c r="G12" s="221"/>
      <c r="H12" s="221"/>
      <c r="I12" s="221"/>
      <c r="J12" s="221"/>
      <c r="K12" s="221"/>
      <c r="L12" s="221"/>
      <c r="M12" s="65"/>
    </row>
    <row r="13" spans="1:13" ht="15.75" x14ac:dyDescent="0.25">
      <c r="A13" s="221" t="s">
        <v>338</v>
      </c>
      <c r="B13" s="221"/>
      <c r="C13" s="221"/>
      <c r="D13" s="221"/>
      <c r="E13" s="221"/>
      <c r="F13" s="221"/>
      <c r="G13" s="221"/>
      <c r="H13" s="221"/>
      <c r="I13" s="221"/>
      <c r="J13" s="221"/>
      <c r="K13" s="221"/>
      <c r="L13" s="221"/>
      <c r="M13" s="65"/>
    </row>
    <row r="14" spans="1:13" ht="15.75" x14ac:dyDescent="0.25">
      <c r="A14" s="221" t="s">
        <v>339</v>
      </c>
      <c r="B14" s="221"/>
      <c r="C14" s="221"/>
      <c r="D14" s="221"/>
      <c r="E14" s="221"/>
      <c r="F14" s="221"/>
      <c r="G14" s="221"/>
      <c r="H14" s="221"/>
      <c r="I14" s="221"/>
      <c r="J14" s="221"/>
      <c r="K14" s="221"/>
      <c r="L14" s="221"/>
      <c r="M14" s="65"/>
    </row>
    <row r="15" spans="1:13" ht="15.75" x14ac:dyDescent="0.25">
      <c r="A15" s="221" t="s">
        <v>340</v>
      </c>
      <c r="B15" s="221"/>
      <c r="C15" s="221"/>
      <c r="D15" s="221"/>
      <c r="E15" s="221"/>
      <c r="F15" s="221"/>
      <c r="G15" s="221"/>
      <c r="H15" s="221"/>
      <c r="I15" s="221"/>
      <c r="J15" s="221"/>
      <c r="K15" s="221"/>
      <c r="L15" s="221"/>
      <c r="M15" s="65"/>
    </row>
    <row r="16" spans="1:13" ht="15.75" x14ac:dyDescent="0.25">
      <c r="A16" s="65"/>
      <c r="B16" s="65"/>
      <c r="C16" s="65"/>
      <c r="D16" s="65"/>
      <c r="E16" s="65"/>
      <c r="F16" s="65"/>
      <c r="G16" s="65"/>
      <c r="H16" s="65"/>
      <c r="I16" s="65"/>
      <c r="J16" s="65"/>
      <c r="K16" s="65"/>
      <c r="L16" s="65"/>
      <c r="M16" s="65"/>
    </row>
    <row r="17" spans="1:13" ht="15.75" x14ac:dyDescent="0.25">
      <c r="A17" s="66" t="s">
        <v>450</v>
      </c>
      <c r="B17" s="66"/>
      <c r="C17" s="66"/>
      <c r="D17" s="66"/>
      <c r="E17" s="66"/>
      <c r="F17" s="66"/>
      <c r="G17" s="66"/>
      <c r="H17" s="66"/>
      <c r="I17" s="66"/>
      <c r="J17" s="66"/>
      <c r="K17" s="66"/>
      <c r="L17" s="66"/>
      <c r="M17" s="66"/>
    </row>
    <row r="18" spans="1:13" ht="15.75" x14ac:dyDescent="0.25">
      <c r="A18" s="226" t="s">
        <v>493</v>
      </c>
      <c r="B18" s="226"/>
      <c r="C18" s="226"/>
      <c r="D18" s="226"/>
      <c r="E18" s="226"/>
      <c r="F18" s="226"/>
      <c r="G18" s="226"/>
      <c r="H18" s="226"/>
      <c r="I18" s="226"/>
      <c r="J18" s="226"/>
      <c r="K18" s="226"/>
      <c r="L18" s="226"/>
      <c r="M18" s="226"/>
    </row>
    <row r="19" spans="1:13" ht="15.75" x14ac:dyDescent="0.25">
      <c r="A19" s="226" t="s">
        <v>494</v>
      </c>
      <c r="B19" s="226"/>
      <c r="C19" s="226"/>
      <c r="D19" s="226"/>
      <c r="E19" s="226"/>
      <c r="F19" s="226"/>
      <c r="G19" s="226"/>
      <c r="H19" s="226"/>
      <c r="I19" s="226"/>
      <c r="J19" s="226"/>
      <c r="K19" s="226"/>
      <c r="L19" s="226"/>
      <c r="M19" s="226"/>
    </row>
    <row r="20" spans="1:13" ht="15.75" x14ac:dyDescent="0.25">
      <c r="A20" s="226" t="s">
        <v>495</v>
      </c>
      <c r="B20" s="226"/>
      <c r="C20" s="226"/>
      <c r="D20" s="226"/>
      <c r="E20" s="226"/>
      <c r="F20" s="226"/>
      <c r="G20" s="226"/>
      <c r="H20" s="226"/>
      <c r="I20" s="226"/>
      <c r="J20" s="226"/>
      <c r="K20" s="226"/>
      <c r="L20" s="226"/>
      <c r="M20" s="226"/>
    </row>
    <row r="21" spans="1:13" x14ac:dyDescent="0.25">
      <c r="A21" s="67"/>
      <c r="B21" s="67"/>
      <c r="C21" s="67"/>
      <c r="D21" s="67"/>
      <c r="E21" s="67"/>
      <c r="F21" s="67"/>
      <c r="G21" s="67"/>
      <c r="H21" s="67"/>
      <c r="I21" s="67"/>
      <c r="J21" s="67"/>
      <c r="K21" s="67"/>
      <c r="L21" s="67"/>
      <c r="M21" s="67"/>
    </row>
    <row r="22" spans="1:13" x14ac:dyDescent="0.25">
      <c r="A22" s="67"/>
      <c r="B22" s="67"/>
      <c r="C22" s="67"/>
      <c r="D22" s="67"/>
      <c r="E22" s="67"/>
      <c r="F22" s="67"/>
      <c r="G22" s="67"/>
      <c r="H22" s="67"/>
      <c r="I22" s="67"/>
      <c r="J22" s="68"/>
      <c r="K22" s="67"/>
      <c r="L22" s="67"/>
      <c r="M22" s="67"/>
    </row>
    <row r="23" spans="1:13" ht="30" x14ac:dyDescent="0.25">
      <c r="A23" s="67"/>
      <c r="B23" s="67"/>
      <c r="C23" s="69" t="s">
        <v>341</v>
      </c>
      <c r="D23" s="68">
        <v>49</v>
      </c>
      <c r="E23" s="67"/>
      <c r="F23" s="67"/>
      <c r="G23" s="67"/>
      <c r="H23" s="67"/>
      <c r="I23" s="67"/>
      <c r="J23" s="67"/>
      <c r="K23" s="67"/>
      <c r="L23" s="67"/>
      <c r="M23" s="67"/>
    </row>
    <row r="24" spans="1:13" ht="30" x14ac:dyDescent="0.25">
      <c r="A24" s="67"/>
      <c r="B24" s="67"/>
      <c r="C24" s="69" t="s">
        <v>342</v>
      </c>
      <c r="D24" s="68">
        <v>5</v>
      </c>
      <c r="E24" s="67"/>
      <c r="F24" s="67"/>
      <c r="G24" s="67"/>
      <c r="H24" s="67"/>
      <c r="I24" s="67"/>
      <c r="J24" s="67"/>
      <c r="K24" s="67"/>
      <c r="L24" s="67"/>
      <c r="M24" s="67"/>
    </row>
    <row r="25" spans="1:13" x14ac:dyDescent="0.25">
      <c r="A25" s="67"/>
      <c r="B25" s="67"/>
      <c r="C25" s="67" t="s">
        <v>343</v>
      </c>
      <c r="D25" s="68">
        <v>0</v>
      </c>
      <c r="E25" s="67"/>
      <c r="F25" s="67"/>
      <c r="G25" s="67"/>
      <c r="H25" s="67"/>
      <c r="I25" s="67"/>
      <c r="J25" s="67"/>
      <c r="K25" s="67"/>
      <c r="L25" s="67"/>
      <c r="M25" s="67"/>
    </row>
    <row r="26" spans="1:13" x14ac:dyDescent="0.25">
      <c r="A26" s="67"/>
      <c r="B26" s="67"/>
      <c r="C26" s="67"/>
      <c r="D26" s="67"/>
      <c r="E26" s="67"/>
      <c r="F26" s="67"/>
      <c r="G26" s="67"/>
      <c r="H26" s="67"/>
      <c r="I26" s="67"/>
      <c r="J26" s="67"/>
      <c r="K26" s="67"/>
      <c r="L26" s="67"/>
      <c r="M26" s="67"/>
    </row>
    <row r="27" spans="1:13" x14ac:dyDescent="0.25">
      <c r="A27" s="67"/>
      <c r="B27" s="67"/>
      <c r="C27" s="67"/>
      <c r="D27" s="67"/>
      <c r="E27" s="67"/>
      <c r="F27" s="67"/>
      <c r="G27" s="67"/>
      <c r="H27" s="67"/>
      <c r="I27" s="67"/>
      <c r="J27" s="67"/>
      <c r="K27" s="67"/>
      <c r="L27" s="67"/>
      <c r="M27" s="67"/>
    </row>
    <row r="28" spans="1:13" x14ac:dyDescent="0.25">
      <c r="A28" s="67"/>
      <c r="B28" s="67"/>
      <c r="C28" s="67"/>
      <c r="D28" s="67"/>
      <c r="E28" s="67"/>
      <c r="F28" s="67"/>
      <c r="G28" s="67"/>
      <c r="H28" s="67"/>
      <c r="I28" s="67"/>
      <c r="J28" s="67"/>
      <c r="K28" s="67"/>
      <c r="L28" s="67"/>
      <c r="M28" s="67"/>
    </row>
    <row r="29" spans="1:13" x14ac:dyDescent="0.25">
      <c r="A29" s="67"/>
      <c r="B29" s="67"/>
      <c r="C29" s="67"/>
      <c r="D29" s="67"/>
      <c r="E29" s="67"/>
      <c r="F29" s="67"/>
      <c r="G29" s="67"/>
      <c r="H29" s="67"/>
      <c r="I29" s="67"/>
      <c r="J29" s="67"/>
      <c r="K29" s="67"/>
      <c r="L29" s="67"/>
      <c r="M29" s="67"/>
    </row>
    <row r="30" spans="1:13" x14ac:dyDescent="0.25">
      <c r="A30" s="67"/>
      <c r="B30" s="67"/>
      <c r="C30" s="67"/>
      <c r="D30" s="67"/>
      <c r="E30" s="67"/>
      <c r="F30" s="67"/>
      <c r="G30" s="67"/>
      <c r="H30" s="67"/>
      <c r="I30" s="67"/>
      <c r="J30" s="67"/>
      <c r="K30" s="67"/>
      <c r="L30" s="67"/>
      <c r="M30" s="67"/>
    </row>
    <row r="31" spans="1:13" x14ac:dyDescent="0.25">
      <c r="A31" s="67"/>
      <c r="B31" s="67"/>
      <c r="C31" s="67"/>
      <c r="D31" s="67"/>
      <c r="E31" s="67"/>
      <c r="F31" s="67"/>
      <c r="G31" s="67"/>
      <c r="H31" s="67"/>
      <c r="I31" s="67"/>
      <c r="J31" s="67"/>
      <c r="K31" s="67"/>
      <c r="L31" s="67"/>
      <c r="M31" s="67"/>
    </row>
    <row r="32" spans="1:13" x14ac:dyDescent="0.25">
      <c r="A32" s="67"/>
      <c r="B32" s="67"/>
      <c r="C32" s="67"/>
      <c r="D32" s="67"/>
      <c r="E32" s="67"/>
      <c r="F32" s="67"/>
      <c r="G32" s="67"/>
      <c r="H32" s="67"/>
      <c r="I32" s="67"/>
      <c r="J32" s="67"/>
      <c r="K32" s="67"/>
      <c r="L32" s="67"/>
      <c r="M32" s="67"/>
    </row>
    <row r="33" spans="1:13" x14ac:dyDescent="0.25">
      <c r="A33" s="67"/>
      <c r="B33" s="67"/>
      <c r="C33" s="67"/>
      <c r="D33" s="67"/>
      <c r="E33" s="67"/>
      <c r="F33" s="67"/>
      <c r="G33" s="67"/>
      <c r="H33" s="67"/>
      <c r="I33" s="67"/>
      <c r="J33" s="67"/>
      <c r="K33" s="67"/>
      <c r="L33" s="67"/>
      <c r="M33" s="67"/>
    </row>
    <row r="34" spans="1:13" ht="29.25" customHeight="1" x14ac:dyDescent="0.25"/>
    <row r="36" spans="1:13" x14ac:dyDescent="0.25">
      <c r="A36" s="70"/>
    </row>
    <row r="215" ht="40.5" customHeight="1" x14ac:dyDescent="0.25"/>
  </sheetData>
  <mergeCells count="15">
    <mergeCell ref="A18:M18"/>
    <mergeCell ref="A19:M19"/>
    <mergeCell ref="A20:M20"/>
    <mergeCell ref="A10:L10"/>
    <mergeCell ref="A11:L11"/>
    <mergeCell ref="A12:L12"/>
    <mergeCell ref="A13:L13"/>
    <mergeCell ref="A14:L14"/>
    <mergeCell ref="A15:L15"/>
    <mergeCell ref="A9:L9"/>
    <mergeCell ref="A1:M1"/>
    <mergeCell ref="A2:M2"/>
    <mergeCell ref="A4:M4"/>
    <mergeCell ref="A6:M6"/>
    <mergeCell ref="A8:F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87"/>
  <sheetViews>
    <sheetView tabSelected="1" workbookViewId="0">
      <selection activeCell="A2" sqref="A2"/>
    </sheetView>
  </sheetViews>
  <sheetFormatPr defaultRowHeight="15" x14ac:dyDescent="0.25"/>
  <cols>
    <col min="1" max="1" width="12.7109375" style="1" customWidth="1"/>
    <col min="2" max="2" width="50.7109375" style="1" customWidth="1"/>
    <col min="3" max="5" width="15.7109375" style="1" customWidth="1"/>
    <col min="6" max="6" width="8.85546875" style="1" customWidth="1"/>
    <col min="7" max="7" width="50.7109375" style="1" customWidth="1"/>
    <col min="8" max="8" width="5.7109375" style="1" customWidth="1"/>
    <col min="9" max="10" width="10.28515625" style="1" customWidth="1"/>
    <col min="11" max="11" width="50.7109375" style="72" customWidth="1"/>
    <col min="12" max="12" width="9.140625" style="1" customWidth="1"/>
    <col min="13" max="16384" width="9.140625" style="1"/>
  </cols>
  <sheetData>
    <row r="1" spans="1:12" x14ac:dyDescent="0.25">
      <c r="B1" s="230" t="s">
        <v>311</v>
      </c>
      <c r="C1" s="230"/>
      <c r="D1" s="230"/>
      <c r="E1" s="230"/>
      <c r="F1" s="230"/>
      <c r="G1" s="230"/>
      <c r="L1" s="35"/>
    </row>
    <row r="2" spans="1:12" ht="15.75" thickBot="1" x14ac:dyDescent="0.3"/>
    <row r="3" spans="1:12" ht="24.95" customHeight="1" x14ac:dyDescent="0.25">
      <c r="A3" s="241" t="s">
        <v>321</v>
      </c>
      <c r="B3" s="244" t="s">
        <v>455</v>
      </c>
      <c r="C3" s="247" t="s">
        <v>325</v>
      </c>
      <c r="D3" s="247" t="s">
        <v>326</v>
      </c>
      <c r="E3" s="247" t="s">
        <v>327</v>
      </c>
      <c r="F3" s="231" t="s">
        <v>322</v>
      </c>
      <c r="G3" s="236" t="s">
        <v>323</v>
      </c>
      <c r="H3" s="237"/>
      <c r="I3" s="237"/>
      <c r="J3" s="238"/>
      <c r="K3" s="227" t="s">
        <v>456</v>
      </c>
    </row>
    <row r="4" spans="1:12" ht="24.95" customHeight="1" x14ac:dyDescent="0.25">
      <c r="A4" s="242"/>
      <c r="B4" s="245"/>
      <c r="C4" s="234"/>
      <c r="D4" s="234"/>
      <c r="E4" s="234"/>
      <c r="F4" s="232"/>
      <c r="G4" s="234" t="s">
        <v>0</v>
      </c>
      <c r="H4" s="234" t="s">
        <v>1</v>
      </c>
      <c r="I4" s="239" t="s">
        <v>328</v>
      </c>
      <c r="J4" s="240"/>
      <c r="K4" s="228"/>
    </row>
    <row r="5" spans="1:12" ht="24.95" customHeight="1" thickBot="1" x14ac:dyDescent="0.3">
      <c r="A5" s="243"/>
      <c r="B5" s="246"/>
      <c r="C5" s="235"/>
      <c r="D5" s="235"/>
      <c r="E5" s="235"/>
      <c r="F5" s="233"/>
      <c r="G5" s="235"/>
      <c r="H5" s="235"/>
      <c r="I5" s="2" t="s">
        <v>2</v>
      </c>
      <c r="J5" s="63" t="s">
        <v>324</v>
      </c>
      <c r="K5" s="229"/>
    </row>
    <row r="6" spans="1:12" ht="15.75" thickBot="1" x14ac:dyDescent="0.3">
      <c r="A6" s="3" t="s">
        <v>3</v>
      </c>
      <c r="B6" s="4" t="s">
        <v>4</v>
      </c>
      <c r="C6" s="5">
        <f>SUM(C7:C7)</f>
        <v>14949975.859999999</v>
      </c>
      <c r="D6" s="5">
        <f>SUM(D7:D7)</f>
        <v>15209949.01</v>
      </c>
      <c r="E6" s="5">
        <f>SUM(E7:E7)</f>
        <v>14656194.909999996</v>
      </c>
      <c r="F6" s="36">
        <f>E6*100/D6</f>
        <v>96.359263928919617</v>
      </c>
      <c r="G6" s="7"/>
      <c r="H6" s="8"/>
      <c r="I6" s="6"/>
      <c r="J6" s="6"/>
      <c r="K6" s="73"/>
    </row>
    <row r="7" spans="1:12" ht="30.75" thickBot="1" x14ac:dyDescent="0.3">
      <c r="A7" s="9" t="s">
        <v>5</v>
      </c>
      <c r="B7" s="10" t="s">
        <v>6</v>
      </c>
      <c r="C7" s="11">
        <f>C8+C134+C138+C146+C151+C170</f>
        <v>14949975.859999999</v>
      </c>
      <c r="D7" s="11">
        <f>D8+D134+D138+D146+D151+D170</f>
        <v>15209949.01</v>
      </c>
      <c r="E7" s="11">
        <f>E8+E134+E138+E146+E151+E170</f>
        <v>14656194.909999996</v>
      </c>
      <c r="F7" s="47">
        <f>E7*100/D7</f>
        <v>96.359263928919617</v>
      </c>
      <c r="G7" s="13"/>
      <c r="H7" s="14"/>
      <c r="I7" s="12"/>
      <c r="J7" s="12"/>
      <c r="K7" s="74"/>
    </row>
    <row r="8" spans="1:12" ht="60" customHeight="1" x14ac:dyDescent="0.25">
      <c r="A8" s="44" t="s">
        <v>7</v>
      </c>
      <c r="B8" s="45" t="s">
        <v>8</v>
      </c>
      <c r="C8" s="46">
        <f>C10+C11+C14+C16+C22+C28+C34+C40+C46+C52+C58+C64+C70+C76+C81+C83+C89+C94+C99+C100+C102+C104+C105+C109+C111+C112+C113+C114+C115+C116+C117+C123+C124+C125+C126+C127+C128+C129+C130+C133</f>
        <v>10123570.32</v>
      </c>
      <c r="D8" s="46">
        <f>D10+D11+D14+D16+D22+D28+D34+D40+D46+D52+D58+D64+D70+D76+D81+D83+D89+D94+D99+D100+D102+D104+D105+D109+D111+D112+D113+D114+D115+D116+D117+D123+D124+D125+D126+D127+D128+D129+D130+D133</f>
        <v>10470093.470000001</v>
      </c>
      <c r="E8" s="46">
        <f>E10+E11+E14+E16+E22+E28+E34+E40+E46+E52+E58+E64+E70+E76+E81+E83+E89+E94+E99+E100+E102+E104+E105+E109+E111+E112+E113+E114+E115+E116+E117+E123+E124+E125+E126+E127+E128+E129+E130+E133</f>
        <v>10310413.619999997</v>
      </c>
      <c r="F8" s="48">
        <f>E8*100/D8</f>
        <v>98.474895659169292</v>
      </c>
      <c r="G8" s="37" t="s">
        <v>312</v>
      </c>
      <c r="H8" s="38" t="s">
        <v>21</v>
      </c>
      <c r="I8" s="48">
        <v>90</v>
      </c>
      <c r="J8" s="48">
        <v>92</v>
      </c>
      <c r="K8" s="76" t="s">
        <v>346</v>
      </c>
    </row>
    <row r="9" spans="1:12" ht="60.75" thickBot="1" x14ac:dyDescent="0.3">
      <c r="A9" s="41"/>
      <c r="B9" s="42"/>
      <c r="C9" s="43"/>
      <c r="D9" s="43"/>
      <c r="E9" s="43"/>
      <c r="F9" s="50"/>
      <c r="G9" s="39" t="s">
        <v>313</v>
      </c>
      <c r="H9" s="40" t="s">
        <v>314</v>
      </c>
      <c r="I9" s="50">
        <v>7</v>
      </c>
      <c r="J9" s="175" t="s">
        <v>451</v>
      </c>
      <c r="K9" s="78" t="s">
        <v>418</v>
      </c>
    </row>
    <row r="10" spans="1:12" ht="75.75" thickBot="1" x14ac:dyDescent="0.3">
      <c r="A10" s="91" t="s">
        <v>9</v>
      </c>
      <c r="B10" s="92" t="s">
        <v>10</v>
      </c>
      <c r="C10" s="20">
        <v>690200</v>
      </c>
      <c r="D10" s="20">
        <v>690200</v>
      </c>
      <c r="E10" s="20">
        <v>682468.44</v>
      </c>
      <c r="F10" s="71">
        <f>E10*100/D10</f>
        <v>98.879808751086642</v>
      </c>
      <c r="G10" s="22" t="s">
        <v>11</v>
      </c>
      <c r="H10" s="23" t="s">
        <v>12</v>
      </c>
      <c r="I10" s="21" t="s">
        <v>13</v>
      </c>
      <c r="J10" s="49">
        <v>27</v>
      </c>
      <c r="K10" s="88" t="s">
        <v>429</v>
      </c>
    </row>
    <row r="11" spans="1:12" ht="30" x14ac:dyDescent="0.25">
      <c r="A11" s="91" t="s">
        <v>14</v>
      </c>
      <c r="B11" s="92" t="s">
        <v>15</v>
      </c>
      <c r="C11" s="24">
        <f>SUM(C12:C13)+168800</f>
        <v>168800</v>
      </c>
      <c r="D11" s="24">
        <f>SUM(D12:D13)+155400</f>
        <v>155400</v>
      </c>
      <c r="E11" s="24">
        <f>SUM(E12:E13)+155362.56</f>
        <v>155362.56</v>
      </c>
      <c r="F11" s="71">
        <f>E11*100/D11</f>
        <v>99.975907335907337</v>
      </c>
      <c r="G11" s="22" t="s">
        <v>16</v>
      </c>
      <c r="H11" s="23" t="s">
        <v>12</v>
      </c>
      <c r="I11" s="21" t="s">
        <v>17</v>
      </c>
      <c r="J11" s="49">
        <v>2</v>
      </c>
      <c r="K11" s="93"/>
    </row>
    <row r="12" spans="1:12" ht="180" customHeight="1" x14ac:dyDescent="0.25">
      <c r="A12" s="25"/>
      <c r="B12" s="26"/>
      <c r="C12" s="27">
        <v>0</v>
      </c>
      <c r="D12" s="27">
        <v>0</v>
      </c>
      <c r="E12" s="27">
        <v>0</v>
      </c>
      <c r="F12" s="51"/>
      <c r="G12" s="29" t="s">
        <v>18</v>
      </c>
      <c r="H12" s="30" t="s">
        <v>12</v>
      </c>
      <c r="I12" s="28" t="s">
        <v>19</v>
      </c>
      <c r="J12" s="51">
        <v>5</v>
      </c>
      <c r="K12" s="79" t="s">
        <v>428</v>
      </c>
    </row>
    <row r="13" spans="1:12" ht="96" customHeight="1" thickBot="1" x14ac:dyDescent="0.3">
      <c r="A13" s="25"/>
      <c r="B13" s="26"/>
      <c r="C13" s="27">
        <v>0</v>
      </c>
      <c r="D13" s="27">
        <v>0</v>
      </c>
      <c r="E13" s="27">
        <v>0</v>
      </c>
      <c r="F13" s="51"/>
      <c r="G13" s="29" t="s">
        <v>20</v>
      </c>
      <c r="H13" s="30" t="s">
        <v>21</v>
      </c>
      <c r="I13" s="28" t="s">
        <v>22</v>
      </c>
      <c r="J13" s="51">
        <v>66.7</v>
      </c>
      <c r="K13" s="79" t="s">
        <v>464</v>
      </c>
    </row>
    <row r="14" spans="1:12" ht="409.5" x14ac:dyDescent="0.25">
      <c r="A14" s="91" t="s">
        <v>23</v>
      </c>
      <c r="B14" s="92" t="s">
        <v>24</v>
      </c>
      <c r="C14" s="24">
        <f>SUM(C15:C15)+5158409.32</f>
        <v>5158409.32</v>
      </c>
      <c r="D14" s="24">
        <v>5485309.3200000003</v>
      </c>
      <c r="E14" s="24">
        <v>5386593.5499999998</v>
      </c>
      <c r="F14" s="71">
        <f>E14*100/D14</f>
        <v>98.200360923310697</v>
      </c>
      <c r="G14" s="22" t="s">
        <v>25</v>
      </c>
      <c r="H14" s="23" t="s">
        <v>12</v>
      </c>
      <c r="I14" s="21" t="s">
        <v>26</v>
      </c>
      <c r="J14" s="21">
        <v>165.43</v>
      </c>
      <c r="K14" s="88" t="s">
        <v>465</v>
      </c>
    </row>
    <row r="15" spans="1:12" ht="90.75" thickBot="1" x14ac:dyDescent="0.3">
      <c r="A15" s="25"/>
      <c r="B15" s="26"/>
      <c r="C15" s="27">
        <v>0</v>
      </c>
      <c r="D15" s="27">
        <v>0</v>
      </c>
      <c r="E15" s="27">
        <v>0</v>
      </c>
      <c r="F15" s="51"/>
      <c r="G15" s="29" t="s">
        <v>27</v>
      </c>
      <c r="H15" s="30" t="s">
        <v>28</v>
      </c>
      <c r="I15" s="28" t="s">
        <v>29</v>
      </c>
      <c r="J15" s="51" t="s">
        <v>459</v>
      </c>
      <c r="K15" s="79" t="s">
        <v>458</v>
      </c>
    </row>
    <row r="16" spans="1:12" ht="30" x14ac:dyDescent="0.25">
      <c r="A16" s="91" t="s">
        <v>30</v>
      </c>
      <c r="B16" s="92" t="s">
        <v>31</v>
      </c>
      <c r="C16" s="24">
        <f>SUM(C17:C21)+248700</f>
        <v>248700</v>
      </c>
      <c r="D16" s="24">
        <f>SUM(D17:D21)+243050</f>
        <v>243050</v>
      </c>
      <c r="E16" s="24">
        <f>SUM(E17:E21)+242776.53</f>
        <v>242776.53</v>
      </c>
      <c r="F16" s="71">
        <f>E16*100/D16</f>
        <v>99.887484056778447</v>
      </c>
      <c r="G16" s="22" t="s">
        <v>330</v>
      </c>
      <c r="H16" s="23" t="s">
        <v>12</v>
      </c>
      <c r="I16" s="21" t="s">
        <v>32</v>
      </c>
      <c r="J16" s="49">
        <v>32</v>
      </c>
      <c r="K16" s="88" t="s">
        <v>416</v>
      </c>
    </row>
    <row r="17" spans="1:11" ht="33" customHeight="1" x14ac:dyDescent="0.25">
      <c r="A17" s="25"/>
      <c r="B17" s="26"/>
      <c r="C17" s="27">
        <v>0</v>
      </c>
      <c r="D17" s="27">
        <v>0</v>
      </c>
      <c r="E17" s="27">
        <v>0</v>
      </c>
      <c r="F17" s="51"/>
      <c r="G17" s="29" t="s">
        <v>34</v>
      </c>
      <c r="H17" s="30" t="s">
        <v>12</v>
      </c>
      <c r="I17" s="28" t="s">
        <v>35</v>
      </c>
      <c r="J17" s="51">
        <v>5</v>
      </c>
      <c r="K17" s="79" t="s">
        <v>399</v>
      </c>
    </row>
    <row r="18" spans="1:11" x14ac:dyDescent="0.25">
      <c r="A18" s="25"/>
      <c r="B18" s="26"/>
      <c r="C18" s="27">
        <v>0</v>
      </c>
      <c r="D18" s="27">
        <v>0</v>
      </c>
      <c r="E18" s="27">
        <v>0</v>
      </c>
      <c r="F18" s="51"/>
      <c r="G18" s="29" t="s">
        <v>37</v>
      </c>
      <c r="H18" s="30" t="s">
        <v>12</v>
      </c>
      <c r="I18" s="28" t="s">
        <v>38</v>
      </c>
      <c r="J18" s="51">
        <v>75</v>
      </c>
      <c r="K18" s="79" t="s">
        <v>347</v>
      </c>
    </row>
    <row r="19" spans="1:11" ht="30" x14ac:dyDescent="0.25">
      <c r="A19" s="25"/>
      <c r="B19" s="26"/>
      <c r="C19" s="27">
        <v>0</v>
      </c>
      <c r="D19" s="27">
        <v>0</v>
      </c>
      <c r="E19" s="27">
        <v>0</v>
      </c>
      <c r="F19" s="51"/>
      <c r="G19" s="29" t="s">
        <v>40</v>
      </c>
      <c r="H19" s="30" t="s">
        <v>12</v>
      </c>
      <c r="I19" s="28" t="s">
        <v>35</v>
      </c>
      <c r="J19" s="51">
        <v>25</v>
      </c>
      <c r="K19" s="79" t="s">
        <v>400</v>
      </c>
    </row>
    <row r="20" spans="1:11" x14ac:dyDescent="0.25">
      <c r="A20" s="25"/>
      <c r="B20" s="26"/>
      <c r="C20" s="27">
        <v>0</v>
      </c>
      <c r="D20" s="27">
        <v>0</v>
      </c>
      <c r="E20" s="27">
        <v>0</v>
      </c>
      <c r="F20" s="51"/>
      <c r="G20" s="29" t="s">
        <v>42</v>
      </c>
      <c r="H20" s="30" t="s">
        <v>12</v>
      </c>
      <c r="I20" s="28" t="s">
        <v>36</v>
      </c>
      <c r="J20" s="51">
        <v>5</v>
      </c>
      <c r="K20" s="79" t="s">
        <v>349</v>
      </c>
    </row>
    <row r="21" spans="1:11" ht="30" x14ac:dyDescent="0.25">
      <c r="A21" s="25"/>
      <c r="B21" s="26"/>
      <c r="C21" s="27">
        <v>0</v>
      </c>
      <c r="D21" s="27">
        <v>0</v>
      </c>
      <c r="E21" s="27">
        <v>0</v>
      </c>
      <c r="F21" s="51"/>
      <c r="G21" s="29" t="s">
        <v>43</v>
      </c>
      <c r="H21" s="30" t="s">
        <v>21</v>
      </c>
      <c r="I21" s="28" t="s">
        <v>19</v>
      </c>
      <c r="J21" s="51">
        <v>-1.9</v>
      </c>
      <c r="K21" s="79" t="s">
        <v>348</v>
      </c>
    </row>
    <row r="22" spans="1:11" ht="28.5" customHeight="1" x14ac:dyDescent="0.25">
      <c r="A22" s="91" t="s">
        <v>44</v>
      </c>
      <c r="B22" s="92" t="s">
        <v>45</v>
      </c>
      <c r="C22" s="24">
        <f>SUM(C23:C27)+190400</f>
        <v>190400</v>
      </c>
      <c r="D22" s="24">
        <f>SUM(D23:D27)+194400</f>
        <v>194400</v>
      </c>
      <c r="E22" s="24">
        <f>SUM(E23:E27)+193826.92</f>
        <v>193826.92</v>
      </c>
      <c r="F22" s="71">
        <f>E22*100/D22</f>
        <v>99.705205761316876</v>
      </c>
      <c r="G22" s="22" t="s">
        <v>330</v>
      </c>
      <c r="H22" s="23" t="s">
        <v>12</v>
      </c>
      <c r="I22" s="21" t="s">
        <v>38</v>
      </c>
      <c r="J22" s="49">
        <v>37</v>
      </c>
      <c r="K22" s="88" t="s">
        <v>415</v>
      </c>
    </row>
    <row r="23" spans="1:11" x14ac:dyDescent="0.25">
      <c r="A23" s="25"/>
      <c r="B23" s="26"/>
      <c r="C23" s="27">
        <v>0</v>
      </c>
      <c r="D23" s="27">
        <v>0</v>
      </c>
      <c r="E23" s="27">
        <v>0</v>
      </c>
      <c r="F23" s="51"/>
      <c r="G23" s="29" t="s">
        <v>34</v>
      </c>
      <c r="H23" s="30" t="s">
        <v>12</v>
      </c>
      <c r="I23" s="28" t="s">
        <v>35</v>
      </c>
      <c r="J23" s="51">
        <v>0</v>
      </c>
      <c r="K23" s="79" t="s">
        <v>353</v>
      </c>
    </row>
    <row r="24" spans="1:11" x14ac:dyDescent="0.25">
      <c r="A24" s="25"/>
      <c r="B24" s="26"/>
      <c r="C24" s="27">
        <v>0</v>
      </c>
      <c r="D24" s="27">
        <v>0</v>
      </c>
      <c r="E24" s="27">
        <v>0</v>
      </c>
      <c r="F24" s="51"/>
      <c r="G24" s="29" t="s">
        <v>37</v>
      </c>
      <c r="H24" s="30" t="s">
        <v>12</v>
      </c>
      <c r="I24" s="28" t="s">
        <v>46</v>
      </c>
      <c r="J24" s="51">
        <v>13</v>
      </c>
      <c r="K24" s="79" t="s">
        <v>350</v>
      </c>
    </row>
    <row r="25" spans="1:11" ht="30" x14ac:dyDescent="0.25">
      <c r="A25" s="25"/>
      <c r="B25" s="26"/>
      <c r="C25" s="27">
        <v>0</v>
      </c>
      <c r="D25" s="27">
        <v>0</v>
      </c>
      <c r="E25" s="27">
        <v>0</v>
      </c>
      <c r="F25" s="51"/>
      <c r="G25" s="29" t="s">
        <v>40</v>
      </c>
      <c r="H25" s="30" t="s">
        <v>12</v>
      </c>
      <c r="I25" s="28" t="s">
        <v>47</v>
      </c>
      <c r="J25" s="51">
        <v>16</v>
      </c>
      <c r="K25" s="79" t="s">
        <v>351</v>
      </c>
    </row>
    <row r="26" spans="1:11" x14ac:dyDescent="0.25">
      <c r="A26" s="25"/>
      <c r="B26" s="26"/>
      <c r="C26" s="27">
        <v>0</v>
      </c>
      <c r="D26" s="27">
        <v>0</v>
      </c>
      <c r="E26" s="27">
        <v>0</v>
      </c>
      <c r="F26" s="51"/>
      <c r="G26" s="29" t="s">
        <v>42</v>
      </c>
      <c r="H26" s="30" t="s">
        <v>12</v>
      </c>
      <c r="I26" s="28" t="s">
        <v>48</v>
      </c>
      <c r="J26" s="51">
        <v>3</v>
      </c>
      <c r="K26" s="79" t="s">
        <v>349</v>
      </c>
    </row>
    <row r="27" spans="1:11" ht="15.75" thickBot="1" x14ac:dyDescent="0.3">
      <c r="A27" s="25"/>
      <c r="B27" s="26"/>
      <c r="C27" s="27">
        <v>0</v>
      </c>
      <c r="D27" s="27">
        <v>0</v>
      </c>
      <c r="E27" s="27">
        <v>0</v>
      </c>
      <c r="F27" s="51"/>
      <c r="G27" s="29" t="s">
        <v>43</v>
      </c>
      <c r="H27" s="30" t="s">
        <v>21</v>
      </c>
      <c r="I27" s="28" t="s">
        <v>19</v>
      </c>
      <c r="J27" s="51">
        <v>0.3</v>
      </c>
      <c r="K27" s="79" t="s">
        <v>395</v>
      </c>
    </row>
    <row r="28" spans="1:11" ht="30" x14ac:dyDescent="0.25">
      <c r="A28" s="91" t="s">
        <v>49</v>
      </c>
      <c r="B28" s="92" t="s">
        <v>50</v>
      </c>
      <c r="C28" s="24">
        <f>SUM(C29:C33)+302300</f>
        <v>302300</v>
      </c>
      <c r="D28" s="24">
        <f>SUM(D29:D33)+293700</f>
        <v>293700</v>
      </c>
      <c r="E28" s="24">
        <f>SUM(E29:E33)+291826.28</f>
        <v>291826.28000000003</v>
      </c>
      <c r="F28" s="71">
        <f>E28*100/D28</f>
        <v>99.362029281579851</v>
      </c>
      <c r="G28" s="22" t="s">
        <v>330</v>
      </c>
      <c r="H28" s="23" t="s">
        <v>12</v>
      </c>
      <c r="I28" s="21" t="s">
        <v>51</v>
      </c>
      <c r="J28" s="49">
        <v>50</v>
      </c>
      <c r="K28" s="88" t="s">
        <v>391</v>
      </c>
    </row>
    <row r="29" spans="1:11" x14ac:dyDescent="0.25">
      <c r="A29" s="25"/>
      <c r="B29" s="26"/>
      <c r="C29" s="27">
        <v>0</v>
      </c>
      <c r="D29" s="27">
        <v>0</v>
      </c>
      <c r="E29" s="27">
        <v>0</v>
      </c>
      <c r="F29" s="94"/>
      <c r="G29" s="29" t="s">
        <v>34</v>
      </c>
      <c r="H29" s="30" t="s">
        <v>12</v>
      </c>
      <c r="I29" s="28" t="s">
        <v>36</v>
      </c>
      <c r="J29" s="51">
        <v>16</v>
      </c>
      <c r="K29" s="79" t="s">
        <v>353</v>
      </c>
    </row>
    <row r="30" spans="1:11" x14ac:dyDescent="0.25">
      <c r="A30" s="25"/>
      <c r="B30" s="26"/>
      <c r="C30" s="27">
        <v>0</v>
      </c>
      <c r="D30" s="27">
        <v>0</v>
      </c>
      <c r="E30" s="27">
        <v>0</v>
      </c>
      <c r="F30" s="94"/>
      <c r="G30" s="29" t="s">
        <v>37</v>
      </c>
      <c r="H30" s="30" t="s">
        <v>12</v>
      </c>
      <c r="I30" s="28" t="s">
        <v>52</v>
      </c>
      <c r="J30" s="51">
        <v>40</v>
      </c>
      <c r="K30" s="79" t="s">
        <v>352</v>
      </c>
    </row>
    <row r="31" spans="1:11" ht="30" x14ac:dyDescent="0.25">
      <c r="A31" s="25"/>
      <c r="B31" s="26"/>
      <c r="C31" s="27">
        <v>0</v>
      </c>
      <c r="D31" s="27">
        <v>0</v>
      </c>
      <c r="E31" s="27">
        <v>0</v>
      </c>
      <c r="F31" s="94"/>
      <c r="G31" s="29" t="s">
        <v>40</v>
      </c>
      <c r="H31" s="30" t="s">
        <v>12</v>
      </c>
      <c r="I31" s="28" t="s">
        <v>52</v>
      </c>
      <c r="J31" s="51">
        <v>46</v>
      </c>
      <c r="K31" s="79" t="s">
        <v>354</v>
      </c>
    </row>
    <row r="32" spans="1:11" ht="30" x14ac:dyDescent="0.25">
      <c r="A32" s="25"/>
      <c r="B32" s="26"/>
      <c r="C32" s="27">
        <v>0</v>
      </c>
      <c r="D32" s="27">
        <v>0</v>
      </c>
      <c r="E32" s="27">
        <v>0</v>
      </c>
      <c r="F32" s="94"/>
      <c r="G32" s="29" t="s">
        <v>42</v>
      </c>
      <c r="H32" s="30" t="s">
        <v>12</v>
      </c>
      <c r="I32" s="28" t="s">
        <v>53</v>
      </c>
      <c r="J32" s="51">
        <v>4</v>
      </c>
      <c r="K32" s="79" t="s">
        <v>355</v>
      </c>
    </row>
    <row r="33" spans="1:12" ht="30" x14ac:dyDescent="0.25">
      <c r="A33" s="25"/>
      <c r="B33" s="26"/>
      <c r="C33" s="27">
        <v>0</v>
      </c>
      <c r="D33" s="27">
        <v>0</v>
      </c>
      <c r="E33" s="27">
        <v>0</v>
      </c>
      <c r="F33" s="94"/>
      <c r="G33" s="29" t="s">
        <v>43</v>
      </c>
      <c r="H33" s="30" t="s">
        <v>21</v>
      </c>
      <c r="I33" s="28" t="s">
        <v>19</v>
      </c>
      <c r="J33" s="51">
        <v>-2.6</v>
      </c>
      <c r="K33" s="79" t="s">
        <v>356</v>
      </c>
    </row>
    <row r="34" spans="1:12" ht="30" x14ac:dyDescent="0.25">
      <c r="A34" s="91" t="s">
        <v>54</v>
      </c>
      <c r="B34" s="92" t="s">
        <v>55</v>
      </c>
      <c r="C34" s="24">
        <f>SUM(C35:C39)+245200</f>
        <v>245200</v>
      </c>
      <c r="D34" s="24">
        <f>SUM(D35:D39)+246200</f>
        <v>246200</v>
      </c>
      <c r="E34" s="24">
        <f>SUM(E35:E39)+244938.07</f>
        <v>244938.07</v>
      </c>
      <c r="F34" s="71">
        <f>E34*100/D34</f>
        <v>99.487437043054427</v>
      </c>
      <c r="G34" s="22" t="s">
        <v>330</v>
      </c>
      <c r="H34" s="23" t="s">
        <v>12</v>
      </c>
      <c r="I34" s="21" t="s">
        <v>56</v>
      </c>
      <c r="J34" s="49">
        <v>181</v>
      </c>
      <c r="K34" s="88" t="s">
        <v>391</v>
      </c>
    </row>
    <row r="35" spans="1:12" x14ac:dyDescent="0.25">
      <c r="A35" s="25"/>
      <c r="B35" s="26"/>
      <c r="C35" s="27">
        <v>0</v>
      </c>
      <c r="D35" s="27">
        <v>0</v>
      </c>
      <c r="E35" s="27">
        <v>0</v>
      </c>
      <c r="F35" s="94"/>
      <c r="G35" s="29" t="s">
        <v>34</v>
      </c>
      <c r="H35" s="30" t="s">
        <v>12</v>
      </c>
      <c r="I35" s="28" t="s">
        <v>47</v>
      </c>
      <c r="J35" s="51">
        <v>2</v>
      </c>
      <c r="K35" s="79" t="s">
        <v>357</v>
      </c>
    </row>
    <row r="36" spans="1:12" x14ac:dyDescent="0.25">
      <c r="A36" s="25"/>
      <c r="B36" s="26"/>
      <c r="C36" s="27">
        <v>0</v>
      </c>
      <c r="D36" s="27">
        <v>0</v>
      </c>
      <c r="E36" s="27">
        <v>0</v>
      </c>
      <c r="F36" s="51"/>
      <c r="G36" s="29" t="s">
        <v>37</v>
      </c>
      <c r="H36" s="30" t="s">
        <v>12</v>
      </c>
      <c r="I36" s="28" t="s">
        <v>57</v>
      </c>
      <c r="J36" s="51">
        <v>39</v>
      </c>
      <c r="K36" s="79" t="s">
        <v>466</v>
      </c>
    </row>
    <row r="37" spans="1:12" ht="30" x14ac:dyDescent="0.25">
      <c r="A37" s="25"/>
      <c r="B37" s="26"/>
      <c r="C37" s="27">
        <v>0</v>
      </c>
      <c r="D37" s="27">
        <v>0</v>
      </c>
      <c r="E37" s="27">
        <v>0</v>
      </c>
      <c r="F37" s="51"/>
      <c r="G37" s="29" t="s">
        <v>58</v>
      </c>
      <c r="H37" s="30" t="s">
        <v>12</v>
      </c>
      <c r="I37" s="28" t="s">
        <v>47</v>
      </c>
      <c r="J37" s="51">
        <v>23</v>
      </c>
      <c r="K37" s="79" t="s">
        <v>366</v>
      </c>
    </row>
    <row r="38" spans="1:12" x14ac:dyDescent="0.25">
      <c r="A38" s="25"/>
      <c r="B38" s="26"/>
      <c r="C38" s="27">
        <v>0</v>
      </c>
      <c r="D38" s="27">
        <v>0</v>
      </c>
      <c r="E38" s="27">
        <v>0</v>
      </c>
      <c r="F38" s="51"/>
      <c r="G38" s="29" t="s">
        <v>42</v>
      </c>
      <c r="H38" s="30" t="s">
        <v>12</v>
      </c>
      <c r="I38" s="28" t="s">
        <v>48</v>
      </c>
      <c r="J38" s="51">
        <v>3</v>
      </c>
      <c r="K38" s="79" t="s">
        <v>349</v>
      </c>
    </row>
    <row r="39" spans="1:12" ht="30" x14ac:dyDescent="0.25">
      <c r="A39" s="25"/>
      <c r="B39" s="26"/>
      <c r="C39" s="27">
        <v>0</v>
      </c>
      <c r="D39" s="27">
        <v>0</v>
      </c>
      <c r="E39" s="27">
        <v>0</v>
      </c>
      <c r="F39" s="51"/>
      <c r="G39" s="29" t="s">
        <v>43</v>
      </c>
      <c r="H39" s="30" t="s">
        <v>21</v>
      </c>
      <c r="I39" s="28" t="s">
        <v>19</v>
      </c>
      <c r="J39" s="51">
        <v>-1.4</v>
      </c>
      <c r="K39" s="79" t="s">
        <v>358</v>
      </c>
    </row>
    <row r="40" spans="1:12" ht="30" x14ac:dyDescent="0.25">
      <c r="A40" s="91" t="s">
        <v>59</v>
      </c>
      <c r="B40" s="92" t="s">
        <v>60</v>
      </c>
      <c r="C40" s="24">
        <f>SUM(C41:C45)+183500</f>
        <v>183500</v>
      </c>
      <c r="D40" s="24">
        <f>SUM(D41:D45)+177340</f>
        <v>177340</v>
      </c>
      <c r="E40" s="24">
        <f>SUM(E41:E45)+177339.06</f>
        <v>177339.06</v>
      </c>
      <c r="F40" s="49">
        <f>E40*100/D40</f>
        <v>99.999469944738919</v>
      </c>
      <c r="G40" s="22" t="s">
        <v>330</v>
      </c>
      <c r="H40" s="23" t="s">
        <v>12</v>
      </c>
      <c r="I40" s="21" t="s">
        <v>22</v>
      </c>
      <c r="J40" s="49">
        <v>110</v>
      </c>
      <c r="K40" s="88" t="s">
        <v>391</v>
      </c>
      <c r="L40" s="35"/>
    </row>
    <row r="41" spans="1:12" x14ac:dyDescent="0.25">
      <c r="A41" s="25"/>
      <c r="B41" s="26"/>
      <c r="C41" s="27">
        <v>0</v>
      </c>
      <c r="D41" s="27">
        <v>0</v>
      </c>
      <c r="E41" s="27">
        <v>0</v>
      </c>
      <c r="F41" s="51"/>
      <c r="G41" s="29" t="s">
        <v>34</v>
      </c>
      <c r="H41" s="30" t="s">
        <v>12</v>
      </c>
      <c r="I41" s="28" t="s">
        <v>61</v>
      </c>
      <c r="J41" s="51">
        <v>9</v>
      </c>
      <c r="K41" s="79" t="s">
        <v>353</v>
      </c>
      <c r="L41" s="95"/>
    </row>
    <row r="42" spans="1:12" ht="30" x14ac:dyDescent="0.25">
      <c r="A42" s="25"/>
      <c r="B42" s="26"/>
      <c r="C42" s="27">
        <v>0</v>
      </c>
      <c r="D42" s="27">
        <v>0</v>
      </c>
      <c r="E42" s="27">
        <v>0</v>
      </c>
      <c r="F42" s="51"/>
      <c r="G42" s="29" t="s">
        <v>62</v>
      </c>
      <c r="H42" s="30" t="s">
        <v>12</v>
      </c>
      <c r="I42" s="28" t="s">
        <v>47</v>
      </c>
      <c r="J42" s="51">
        <v>14</v>
      </c>
      <c r="K42" s="79" t="s">
        <v>359</v>
      </c>
    </row>
    <row r="43" spans="1:12" x14ac:dyDescent="0.25">
      <c r="A43" s="25"/>
      <c r="B43" s="26"/>
      <c r="C43" s="27">
        <v>0</v>
      </c>
      <c r="D43" s="27">
        <v>0</v>
      </c>
      <c r="E43" s="27">
        <v>0</v>
      </c>
      <c r="F43" s="51"/>
      <c r="G43" s="29" t="s">
        <v>37</v>
      </c>
      <c r="H43" s="30" t="s">
        <v>12</v>
      </c>
      <c r="I43" s="28" t="s">
        <v>63</v>
      </c>
      <c r="J43" s="51">
        <v>46</v>
      </c>
      <c r="K43" s="79" t="s">
        <v>354</v>
      </c>
    </row>
    <row r="44" spans="1:12" x14ac:dyDescent="0.25">
      <c r="A44" s="25"/>
      <c r="B44" s="26"/>
      <c r="C44" s="27">
        <v>0</v>
      </c>
      <c r="D44" s="27">
        <v>0</v>
      </c>
      <c r="E44" s="27">
        <v>0</v>
      </c>
      <c r="F44" s="51"/>
      <c r="G44" s="29" t="s">
        <v>42</v>
      </c>
      <c r="H44" s="30" t="s">
        <v>12</v>
      </c>
      <c r="I44" s="28" t="s">
        <v>48</v>
      </c>
      <c r="J44" s="51">
        <v>3</v>
      </c>
      <c r="K44" s="96" t="s">
        <v>349</v>
      </c>
    </row>
    <row r="45" spans="1:12" x14ac:dyDescent="0.25">
      <c r="A45" s="25"/>
      <c r="B45" s="26"/>
      <c r="C45" s="27">
        <v>0</v>
      </c>
      <c r="D45" s="27">
        <v>0</v>
      </c>
      <c r="E45" s="27">
        <v>0</v>
      </c>
      <c r="F45" s="51"/>
      <c r="G45" s="29" t="s">
        <v>43</v>
      </c>
      <c r="H45" s="30" t="s">
        <v>21</v>
      </c>
      <c r="I45" s="28" t="s">
        <v>19</v>
      </c>
      <c r="J45" s="51">
        <v>1.1000000000000001</v>
      </c>
      <c r="K45" s="79" t="s">
        <v>360</v>
      </c>
    </row>
    <row r="46" spans="1:12" ht="30" x14ac:dyDescent="0.25">
      <c r="A46" s="91" t="s">
        <v>64</v>
      </c>
      <c r="B46" s="92" t="s">
        <v>65</v>
      </c>
      <c r="C46" s="24">
        <f>SUM(C47:C51)+175100</f>
        <v>175100</v>
      </c>
      <c r="D46" s="24">
        <f>SUM(D47:D51)+179600</f>
        <v>179600</v>
      </c>
      <c r="E46" s="24">
        <f>SUM(E47:E51)+178439.22</f>
        <v>178439.22</v>
      </c>
      <c r="F46" s="71">
        <f>E46*100/D46</f>
        <v>99.353685968819605</v>
      </c>
      <c r="G46" s="22" t="s">
        <v>330</v>
      </c>
      <c r="H46" s="23" t="s">
        <v>12</v>
      </c>
      <c r="I46" s="21" t="s">
        <v>66</v>
      </c>
      <c r="J46" s="49">
        <v>105</v>
      </c>
      <c r="K46" s="97" t="s">
        <v>391</v>
      </c>
      <c r="L46" s="35"/>
    </row>
    <row r="47" spans="1:12" x14ac:dyDescent="0.25">
      <c r="A47" s="25"/>
      <c r="B47" s="26"/>
      <c r="C47" s="27">
        <v>0</v>
      </c>
      <c r="D47" s="27">
        <v>0</v>
      </c>
      <c r="E47" s="27">
        <v>0</v>
      </c>
      <c r="F47" s="94"/>
      <c r="G47" s="29" t="s">
        <v>34</v>
      </c>
      <c r="H47" s="30" t="s">
        <v>12</v>
      </c>
      <c r="I47" s="28" t="s">
        <v>63</v>
      </c>
      <c r="J47" s="51">
        <v>20</v>
      </c>
      <c r="K47" s="79" t="s">
        <v>353</v>
      </c>
      <c r="L47" s="35"/>
    </row>
    <row r="48" spans="1:12" x14ac:dyDescent="0.25">
      <c r="A48" s="25"/>
      <c r="B48" s="26"/>
      <c r="C48" s="27">
        <v>0</v>
      </c>
      <c r="D48" s="27">
        <v>0</v>
      </c>
      <c r="E48" s="27">
        <v>0</v>
      </c>
      <c r="F48" s="94"/>
      <c r="G48" s="29" t="s">
        <v>37</v>
      </c>
      <c r="H48" s="30" t="s">
        <v>12</v>
      </c>
      <c r="I48" s="28" t="s">
        <v>38</v>
      </c>
      <c r="J48" s="51">
        <v>59</v>
      </c>
      <c r="K48" s="79" t="s">
        <v>354</v>
      </c>
    </row>
    <row r="49" spans="1:12" ht="30" x14ac:dyDescent="0.25">
      <c r="A49" s="25"/>
      <c r="B49" s="26"/>
      <c r="C49" s="27">
        <v>0</v>
      </c>
      <c r="D49" s="27">
        <v>0</v>
      </c>
      <c r="E49" s="27">
        <v>0</v>
      </c>
      <c r="F49" s="94"/>
      <c r="G49" s="29" t="s">
        <v>40</v>
      </c>
      <c r="H49" s="30" t="s">
        <v>12</v>
      </c>
      <c r="I49" s="28" t="s">
        <v>57</v>
      </c>
      <c r="J49" s="51">
        <v>47</v>
      </c>
      <c r="K49" s="98" t="s">
        <v>361</v>
      </c>
    </row>
    <row r="50" spans="1:12" x14ac:dyDescent="0.25">
      <c r="A50" s="25"/>
      <c r="B50" s="26"/>
      <c r="C50" s="27">
        <v>0</v>
      </c>
      <c r="D50" s="27">
        <v>0</v>
      </c>
      <c r="E50" s="27">
        <v>0</v>
      </c>
      <c r="F50" s="94"/>
      <c r="G50" s="29" t="s">
        <v>42</v>
      </c>
      <c r="H50" s="30" t="s">
        <v>12</v>
      </c>
      <c r="I50" s="28" t="s">
        <v>53</v>
      </c>
      <c r="J50" s="51">
        <v>4</v>
      </c>
      <c r="K50" s="96" t="s">
        <v>349</v>
      </c>
    </row>
    <row r="51" spans="1:12" ht="30" x14ac:dyDescent="0.25">
      <c r="A51" s="25"/>
      <c r="B51" s="26"/>
      <c r="C51" s="27">
        <v>0</v>
      </c>
      <c r="D51" s="27">
        <v>0</v>
      </c>
      <c r="E51" s="27">
        <v>0</v>
      </c>
      <c r="F51" s="94"/>
      <c r="G51" s="99" t="s">
        <v>43</v>
      </c>
      <c r="H51" s="100" t="s">
        <v>21</v>
      </c>
      <c r="I51" s="101" t="s">
        <v>19</v>
      </c>
      <c r="J51" s="101">
        <v>-2.9</v>
      </c>
      <c r="K51" s="79" t="s">
        <v>358</v>
      </c>
    </row>
    <row r="52" spans="1:12" ht="30" x14ac:dyDescent="0.25">
      <c r="A52" s="91" t="s">
        <v>67</v>
      </c>
      <c r="B52" s="92" t="s">
        <v>68</v>
      </c>
      <c r="C52" s="24">
        <f>SUM(C53:C57)+283300</f>
        <v>283300</v>
      </c>
      <c r="D52" s="24">
        <f>SUM(D53:D57)+287800</f>
        <v>287800</v>
      </c>
      <c r="E52" s="24">
        <f>SUM(E53:E57)+287075.08</f>
        <v>287075.08</v>
      </c>
      <c r="F52" s="71">
        <f>E52*100/D52</f>
        <v>99.748116747741491</v>
      </c>
      <c r="G52" s="22" t="s">
        <v>330</v>
      </c>
      <c r="H52" s="23" t="s">
        <v>12</v>
      </c>
      <c r="I52" s="21" t="s">
        <v>33</v>
      </c>
      <c r="J52" s="49">
        <v>51</v>
      </c>
      <c r="K52" s="88" t="s">
        <v>362</v>
      </c>
      <c r="L52" s="35"/>
    </row>
    <row r="53" spans="1:12" x14ac:dyDescent="0.25">
      <c r="A53" s="25"/>
      <c r="B53" s="26"/>
      <c r="C53" s="27">
        <v>0</v>
      </c>
      <c r="D53" s="27">
        <v>0</v>
      </c>
      <c r="E53" s="27">
        <v>0</v>
      </c>
      <c r="F53" s="94"/>
      <c r="G53" s="29" t="s">
        <v>34</v>
      </c>
      <c r="H53" s="30" t="s">
        <v>12</v>
      </c>
      <c r="I53" s="28" t="s">
        <v>17</v>
      </c>
      <c r="J53" s="51">
        <v>3</v>
      </c>
      <c r="K53" s="79" t="s">
        <v>353</v>
      </c>
      <c r="L53" s="35"/>
    </row>
    <row r="54" spans="1:12" x14ac:dyDescent="0.25">
      <c r="A54" s="25"/>
      <c r="B54" s="26"/>
      <c r="C54" s="27">
        <v>0</v>
      </c>
      <c r="D54" s="27">
        <v>0</v>
      </c>
      <c r="E54" s="27">
        <v>0</v>
      </c>
      <c r="F54" s="94"/>
      <c r="G54" s="29" t="s">
        <v>69</v>
      </c>
      <c r="H54" s="30" t="s">
        <v>12</v>
      </c>
      <c r="I54" s="28" t="s">
        <v>51</v>
      </c>
      <c r="J54" s="51">
        <v>26</v>
      </c>
      <c r="K54" s="79" t="s">
        <v>354</v>
      </c>
    </row>
    <row r="55" spans="1:12" ht="30" x14ac:dyDescent="0.25">
      <c r="A55" s="25"/>
      <c r="B55" s="26"/>
      <c r="C55" s="27">
        <v>0</v>
      </c>
      <c r="D55" s="27">
        <v>0</v>
      </c>
      <c r="E55" s="27">
        <v>0</v>
      </c>
      <c r="F55" s="94"/>
      <c r="G55" s="29" t="s">
        <v>40</v>
      </c>
      <c r="H55" s="30" t="s">
        <v>12</v>
      </c>
      <c r="I55" s="28" t="s">
        <v>70</v>
      </c>
      <c r="J55" s="51">
        <v>41</v>
      </c>
      <c r="K55" s="102" t="s">
        <v>467</v>
      </c>
    </row>
    <row r="56" spans="1:12" x14ac:dyDescent="0.25">
      <c r="A56" s="25"/>
      <c r="B56" s="26"/>
      <c r="C56" s="27">
        <v>0</v>
      </c>
      <c r="D56" s="27">
        <v>0</v>
      </c>
      <c r="E56" s="27">
        <v>0</v>
      </c>
      <c r="F56" s="94"/>
      <c r="G56" s="29" t="s">
        <v>42</v>
      </c>
      <c r="H56" s="30" t="s">
        <v>12</v>
      </c>
      <c r="I56" s="28" t="s">
        <v>36</v>
      </c>
      <c r="J56" s="51">
        <v>5</v>
      </c>
      <c r="K56" s="96" t="s">
        <v>349</v>
      </c>
    </row>
    <row r="57" spans="1:12" ht="30" x14ac:dyDescent="0.25">
      <c r="A57" s="25"/>
      <c r="B57" s="26"/>
      <c r="C57" s="27">
        <v>0</v>
      </c>
      <c r="D57" s="27">
        <v>0</v>
      </c>
      <c r="E57" s="27">
        <v>0</v>
      </c>
      <c r="F57" s="94"/>
      <c r="G57" s="29" t="s">
        <v>43</v>
      </c>
      <c r="H57" s="30" t="s">
        <v>21</v>
      </c>
      <c r="I57" s="28" t="s">
        <v>19</v>
      </c>
      <c r="J57" s="51">
        <v>-0.9</v>
      </c>
      <c r="K57" s="79" t="s">
        <v>406</v>
      </c>
    </row>
    <row r="58" spans="1:12" ht="30" x14ac:dyDescent="0.25">
      <c r="A58" s="91" t="s">
        <v>71</v>
      </c>
      <c r="B58" s="92" t="s">
        <v>72</v>
      </c>
      <c r="C58" s="24">
        <f>SUM(C59:C63)+415500</f>
        <v>415500</v>
      </c>
      <c r="D58" s="24">
        <f>SUM(D59:D63)+424700</f>
        <v>424700</v>
      </c>
      <c r="E58" s="24">
        <f>SUM(E59:E63)+418740.53</f>
        <v>418740.53</v>
      </c>
      <c r="F58" s="71">
        <f>E58*100/D58</f>
        <v>98.596781257358131</v>
      </c>
      <c r="G58" s="22" t="s">
        <v>330</v>
      </c>
      <c r="H58" s="23" t="s">
        <v>12</v>
      </c>
      <c r="I58" s="21" t="s">
        <v>73</v>
      </c>
      <c r="J58" s="49">
        <v>351</v>
      </c>
      <c r="K58" s="88" t="s">
        <v>363</v>
      </c>
      <c r="L58" s="35"/>
    </row>
    <row r="59" spans="1:12" ht="30" x14ac:dyDescent="0.25">
      <c r="A59" s="25"/>
      <c r="B59" s="26"/>
      <c r="C59" s="27">
        <v>0</v>
      </c>
      <c r="D59" s="27">
        <v>0</v>
      </c>
      <c r="E59" s="27">
        <v>0</v>
      </c>
      <c r="F59" s="94"/>
      <c r="G59" s="29" t="s">
        <v>34</v>
      </c>
      <c r="H59" s="30" t="s">
        <v>12</v>
      </c>
      <c r="I59" s="28" t="s">
        <v>74</v>
      </c>
      <c r="J59" s="51">
        <v>151</v>
      </c>
      <c r="K59" s="79" t="s">
        <v>364</v>
      </c>
      <c r="L59" s="95"/>
    </row>
    <row r="60" spans="1:12" x14ac:dyDescent="0.25">
      <c r="A60" s="25"/>
      <c r="B60" s="26"/>
      <c r="C60" s="27">
        <v>0</v>
      </c>
      <c r="D60" s="27">
        <v>0</v>
      </c>
      <c r="E60" s="27">
        <v>0</v>
      </c>
      <c r="F60" s="94"/>
      <c r="G60" s="29" t="s">
        <v>37</v>
      </c>
      <c r="H60" s="30" t="s">
        <v>12</v>
      </c>
      <c r="I60" s="28" t="s">
        <v>66</v>
      </c>
      <c r="J60" s="51">
        <v>111</v>
      </c>
      <c r="K60" s="79" t="s">
        <v>365</v>
      </c>
    </row>
    <row r="61" spans="1:12" ht="30" x14ac:dyDescent="0.25">
      <c r="A61" s="25"/>
      <c r="B61" s="26"/>
      <c r="C61" s="27">
        <v>0</v>
      </c>
      <c r="D61" s="27">
        <v>0</v>
      </c>
      <c r="E61" s="27">
        <v>0</v>
      </c>
      <c r="F61" s="94"/>
      <c r="G61" s="29" t="s">
        <v>75</v>
      </c>
      <c r="H61" s="30" t="s">
        <v>12</v>
      </c>
      <c r="I61" s="28" t="s">
        <v>74</v>
      </c>
      <c r="J61" s="51">
        <v>95</v>
      </c>
      <c r="K61" s="79" t="s">
        <v>393</v>
      </c>
    </row>
    <row r="62" spans="1:12" x14ac:dyDescent="0.25">
      <c r="A62" s="25"/>
      <c r="B62" s="26"/>
      <c r="C62" s="27">
        <v>0</v>
      </c>
      <c r="D62" s="27">
        <v>0</v>
      </c>
      <c r="E62" s="27">
        <v>0</v>
      </c>
      <c r="F62" s="94"/>
      <c r="G62" s="29" t="s">
        <v>42</v>
      </c>
      <c r="H62" s="30" t="s">
        <v>12</v>
      </c>
      <c r="I62" s="28" t="s">
        <v>77</v>
      </c>
      <c r="J62" s="51">
        <v>8</v>
      </c>
      <c r="K62" s="96" t="s">
        <v>349</v>
      </c>
    </row>
    <row r="63" spans="1:12" ht="30" customHeight="1" x14ac:dyDescent="0.25">
      <c r="A63" s="25"/>
      <c r="B63" s="26"/>
      <c r="C63" s="27">
        <v>0</v>
      </c>
      <c r="D63" s="27">
        <v>0</v>
      </c>
      <c r="E63" s="27">
        <v>0</v>
      </c>
      <c r="F63" s="94"/>
      <c r="G63" s="29" t="s">
        <v>43</v>
      </c>
      <c r="H63" s="30" t="s">
        <v>21</v>
      </c>
      <c r="I63" s="28" t="s">
        <v>19</v>
      </c>
      <c r="J63" s="51">
        <v>-2.1</v>
      </c>
      <c r="K63" s="79" t="s">
        <v>367</v>
      </c>
    </row>
    <row r="64" spans="1:12" ht="30" x14ac:dyDescent="0.25">
      <c r="A64" s="91" t="s">
        <v>78</v>
      </c>
      <c r="B64" s="92" t="s">
        <v>79</v>
      </c>
      <c r="C64" s="24">
        <f>SUM(C65:C69)+168400</f>
        <v>168400</v>
      </c>
      <c r="D64" s="24">
        <f>SUM(D65:D69)+169900</f>
        <v>169900</v>
      </c>
      <c r="E64" s="24">
        <f>SUM(E65:E69)+169259.28</f>
        <v>169259.28</v>
      </c>
      <c r="F64" s="71">
        <f>E64*100/D64</f>
        <v>99.622884049440842</v>
      </c>
      <c r="G64" s="22" t="s">
        <v>330</v>
      </c>
      <c r="H64" s="23" t="s">
        <v>12</v>
      </c>
      <c r="I64" s="21" t="s">
        <v>80</v>
      </c>
      <c r="J64" s="49">
        <v>89</v>
      </c>
      <c r="K64" s="88" t="s">
        <v>368</v>
      </c>
      <c r="L64" s="35"/>
    </row>
    <row r="65" spans="1:12" x14ac:dyDescent="0.25">
      <c r="A65" s="25"/>
      <c r="B65" s="26"/>
      <c r="C65" s="27">
        <v>0</v>
      </c>
      <c r="D65" s="27">
        <v>0</v>
      </c>
      <c r="E65" s="27">
        <v>0</v>
      </c>
      <c r="F65" s="94"/>
      <c r="G65" s="29" t="s">
        <v>37</v>
      </c>
      <c r="H65" s="30" t="s">
        <v>12</v>
      </c>
      <c r="I65" s="28" t="s">
        <v>81</v>
      </c>
      <c r="J65" s="51">
        <v>43</v>
      </c>
      <c r="K65" s="79" t="s">
        <v>359</v>
      </c>
      <c r="L65" s="95"/>
    </row>
    <row r="66" spans="1:12" ht="30" x14ac:dyDescent="0.25">
      <c r="A66" s="25"/>
      <c r="B66" s="26"/>
      <c r="C66" s="27">
        <v>0</v>
      </c>
      <c r="D66" s="27">
        <v>0</v>
      </c>
      <c r="E66" s="27">
        <v>0</v>
      </c>
      <c r="F66" s="94"/>
      <c r="G66" s="29" t="s">
        <v>75</v>
      </c>
      <c r="H66" s="30" t="s">
        <v>12</v>
      </c>
      <c r="I66" s="28" t="s">
        <v>35</v>
      </c>
      <c r="J66" s="51">
        <v>18</v>
      </c>
      <c r="K66" s="79" t="s">
        <v>359</v>
      </c>
    </row>
    <row r="67" spans="1:12" x14ac:dyDescent="0.25">
      <c r="A67" s="25"/>
      <c r="B67" s="26"/>
      <c r="C67" s="27">
        <v>0</v>
      </c>
      <c r="D67" s="27">
        <v>0</v>
      </c>
      <c r="E67" s="27">
        <v>0</v>
      </c>
      <c r="F67" s="94"/>
      <c r="G67" s="29" t="s">
        <v>34</v>
      </c>
      <c r="H67" s="30" t="s">
        <v>12</v>
      </c>
      <c r="I67" s="28" t="s">
        <v>41</v>
      </c>
      <c r="J67" s="51">
        <v>8</v>
      </c>
      <c r="K67" s="79" t="s">
        <v>353</v>
      </c>
    </row>
    <row r="68" spans="1:12" x14ac:dyDescent="0.25">
      <c r="A68" s="25"/>
      <c r="B68" s="26"/>
      <c r="C68" s="27">
        <v>0</v>
      </c>
      <c r="D68" s="27">
        <v>0</v>
      </c>
      <c r="E68" s="27">
        <v>0</v>
      </c>
      <c r="F68" s="94"/>
      <c r="G68" s="29" t="s">
        <v>42</v>
      </c>
      <c r="H68" s="30" t="s">
        <v>12</v>
      </c>
      <c r="I68" s="28" t="s">
        <v>17</v>
      </c>
      <c r="J68" s="51">
        <v>2</v>
      </c>
      <c r="K68" s="96" t="s">
        <v>349</v>
      </c>
    </row>
    <row r="69" spans="1:12" ht="30" x14ac:dyDescent="0.25">
      <c r="A69" s="25"/>
      <c r="B69" s="26"/>
      <c r="C69" s="27">
        <v>0</v>
      </c>
      <c r="D69" s="27">
        <v>0</v>
      </c>
      <c r="E69" s="27">
        <v>0</v>
      </c>
      <c r="F69" s="94"/>
      <c r="G69" s="29" t="s">
        <v>43</v>
      </c>
      <c r="H69" s="30" t="s">
        <v>21</v>
      </c>
      <c r="I69" s="28" t="s">
        <v>19</v>
      </c>
      <c r="J69" s="51">
        <v>-1.3</v>
      </c>
      <c r="K69" s="79" t="s">
        <v>369</v>
      </c>
    </row>
    <row r="70" spans="1:12" ht="30" x14ac:dyDescent="0.25">
      <c r="A70" s="91" t="s">
        <v>82</v>
      </c>
      <c r="B70" s="92" t="s">
        <v>83</v>
      </c>
      <c r="C70" s="24">
        <f>SUM(C71:C75)+153600</f>
        <v>153600</v>
      </c>
      <c r="D70" s="24">
        <f>SUM(D71:D75)+153500</f>
        <v>153500</v>
      </c>
      <c r="E70" s="24">
        <f>SUM(E71:E75)+153365.91</f>
        <v>153365.91</v>
      </c>
      <c r="F70" s="71">
        <f>E70*100/D70</f>
        <v>99.912644951140066</v>
      </c>
      <c r="G70" s="103" t="s">
        <v>330</v>
      </c>
      <c r="H70" s="104" t="s">
        <v>12</v>
      </c>
      <c r="I70" s="105" t="s">
        <v>63</v>
      </c>
      <c r="J70" s="71">
        <v>17</v>
      </c>
      <c r="K70" s="106" t="s">
        <v>362</v>
      </c>
      <c r="L70" s="35"/>
    </row>
    <row r="71" spans="1:12" ht="30" x14ac:dyDescent="0.25">
      <c r="A71" s="25"/>
      <c r="B71" s="26"/>
      <c r="C71" s="27">
        <v>0</v>
      </c>
      <c r="D71" s="27">
        <v>0</v>
      </c>
      <c r="E71" s="27">
        <v>0</v>
      </c>
      <c r="F71" s="51"/>
      <c r="G71" s="99" t="s">
        <v>34</v>
      </c>
      <c r="H71" s="100" t="s">
        <v>12</v>
      </c>
      <c r="I71" s="101" t="s">
        <v>41</v>
      </c>
      <c r="J71" s="94">
        <v>1</v>
      </c>
      <c r="K71" s="107" t="s">
        <v>401</v>
      </c>
      <c r="L71" s="35"/>
    </row>
    <row r="72" spans="1:12" ht="30" x14ac:dyDescent="0.25">
      <c r="A72" s="25"/>
      <c r="B72" s="26"/>
      <c r="C72" s="27">
        <v>0</v>
      </c>
      <c r="D72" s="27">
        <v>0</v>
      </c>
      <c r="E72" s="27">
        <v>0</v>
      </c>
      <c r="F72" s="51"/>
      <c r="G72" s="99" t="s">
        <v>37</v>
      </c>
      <c r="H72" s="100" t="s">
        <v>12</v>
      </c>
      <c r="I72" s="101" t="s">
        <v>51</v>
      </c>
      <c r="J72" s="94">
        <v>39</v>
      </c>
      <c r="K72" s="107" t="s">
        <v>370</v>
      </c>
    </row>
    <row r="73" spans="1:12" ht="30" x14ac:dyDescent="0.25">
      <c r="A73" s="25"/>
      <c r="B73" s="26"/>
      <c r="C73" s="27">
        <v>0</v>
      </c>
      <c r="D73" s="27">
        <v>0</v>
      </c>
      <c r="E73" s="27">
        <v>0</v>
      </c>
      <c r="F73" s="51"/>
      <c r="G73" s="99" t="s">
        <v>40</v>
      </c>
      <c r="H73" s="100" t="s">
        <v>12</v>
      </c>
      <c r="I73" s="101" t="s">
        <v>41</v>
      </c>
      <c r="J73" s="94">
        <v>8</v>
      </c>
      <c r="K73" s="107" t="s">
        <v>402</v>
      </c>
    </row>
    <row r="74" spans="1:12" x14ac:dyDescent="0.25">
      <c r="A74" s="25"/>
      <c r="B74" s="26"/>
      <c r="C74" s="27">
        <v>0</v>
      </c>
      <c r="D74" s="27">
        <v>0</v>
      </c>
      <c r="E74" s="27">
        <v>0</v>
      </c>
      <c r="F74" s="51"/>
      <c r="G74" s="99" t="s">
        <v>42</v>
      </c>
      <c r="H74" s="100" t="s">
        <v>12</v>
      </c>
      <c r="I74" s="101" t="s">
        <v>53</v>
      </c>
      <c r="J74" s="94">
        <v>4</v>
      </c>
      <c r="K74" s="172" t="s">
        <v>349</v>
      </c>
    </row>
    <row r="75" spans="1:12" ht="15.75" thickBot="1" x14ac:dyDescent="0.3">
      <c r="A75" s="25"/>
      <c r="B75" s="26"/>
      <c r="C75" s="27">
        <v>0</v>
      </c>
      <c r="D75" s="27">
        <v>0</v>
      </c>
      <c r="E75" s="27">
        <v>0</v>
      </c>
      <c r="F75" s="51"/>
      <c r="G75" s="99" t="s">
        <v>43</v>
      </c>
      <c r="H75" s="100" t="s">
        <v>21</v>
      </c>
      <c r="I75" s="101" t="s">
        <v>19</v>
      </c>
      <c r="J75" s="94">
        <v>-3.5</v>
      </c>
      <c r="K75" s="173" t="s">
        <v>403</v>
      </c>
    </row>
    <row r="76" spans="1:12" ht="30" x14ac:dyDescent="0.25">
      <c r="A76" s="91" t="s">
        <v>84</v>
      </c>
      <c r="B76" s="92" t="s">
        <v>85</v>
      </c>
      <c r="C76" s="24">
        <f>SUM(C77:C80)+447000</f>
        <v>447000</v>
      </c>
      <c r="D76" s="24">
        <f>SUM(D77:D80)+414940</f>
        <v>414940</v>
      </c>
      <c r="E76" s="24">
        <v>414900.56</v>
      </c>
      <c r="F76" s="49">
        <f>E76*100/D76</f>
        <v>99.990495011326942</v>
      </c>
      <c r="G76" s="22" t="s">
        <v>330</v>
      </c>
      <c r="H76" s="23" t="s">
        <v>12</v>
      </c>
      <c r="I76" s="21" t="s">
        <v>86</v>
      </c>
      <c r="J76" s="49" t="s">
        <v>452</v>
      </c>
      <c r="K76" s="108" t="s">
        <v>362</v>
      </c>
      <c r="L76" s="35"/>
    </row>
    <row r="77" spans="1:12" ht="30" x14ac:dyDescent="0.25">
      <c r="A77" s="25"/>
      <c r="B77" s="26"/>
      <c r="C77" s="27">
        <v>0</v>
      </c>
      <c r="D77" s="27">
        <v>0</v>
      </c>
      <c r="E77" s="27">
        <v>0</v>
      </c>
      <c r="F77" s="51"/>
      <c r="G77" s="29" t="s">
        <v>40</v>
      </c>
      <c r="H77" s="30" t="s">
        <v>12</v>
      </c>
      <c r="I77" s="28" t="s">
        <v>87</v>
      </c>
      <c r="J77" s="51">
        <v>160</v>
      </c>
      <c r="K77" s="79" t="s">
        <v>354</v>
      </c>
      <c r="L77" s="35"/>
    </row>
    <row r="78" spans="1:12" x14ac:dyDescent="0.25">
      <c r="A78" s="25"/>
      <c r="B78" s="26"/>
      <c r="C78" s="27">
        <v>0</v>
      </c>
      <c r="D78" s="27">
        <v>0</v>
      </c>
      <c r="E78" s="27">
        <v>0</v>
      </c>
      <c r="F78" s="51"/>
      <c r="G78" s="29" t="s">
        <v>37</v>
      </c>
      <c r="H78" s="30" t="s">
        <v>12</v>
      </c>
      <c r="I78" s="28" t="s">
        <v>56</v>
      </c>
      <c r="J78" s="51">
        <v>177</v>
      </c>
      <c r="K78" s="79" t="s">
        <v>354</v>
      </c>
    </row>
    <row r="79" spans="1:12" x14ac:dyDescent="0.25">
      <c r="A79" s="25"/>
      <c r="B79" s="26"/>
      <c r="C79" s="27">
        <v>0</v>
      </c>
      <c r="D79" s="27">
        <v>0</v>
      </c>
      <c r="E79" s="27">
        <v>0</v>
      </c>
      <c r="F79" s="51"/>
      <c r="G79" s="29" t="s">
        <v>42</v>
      </c>
      <c r="H79" s="30" t="s">
        <v>12</v>
      </c>
      <c r="I79" s="28" t="s">
        <v>19</v>
      </c>
      <c r="J79" s="51">
        <v>1</v>
      </c>
      <c r="K79" s="79" t="s">
        <v>349</v>
      </c>
    </row>
    <row r="80" spans="1:12" ht="30.75" thickBot="1" x14ac:dyDescent="0.3">
      <c r="A80" s="25"/>
      <c r="B80" s="26"/>
      <c r="C80" s="27">
        <v>0</v>
      </c>
      <c r="D80" s="27">
        <v>0</v>
      </c>
      <c r="E80" s="27">
        <v>0</v>
      </c>
      <c r="F80" s="51"/>
      <c r="G80" s="29" t="s">
        <v>43</v>
      </c>
      <c r="H80" s="30" t="s">
        <v>21</v>
      </c>
      <c r="I80" s="28" t="s">
        <v>19</v>
      </c>
      <c r="J80" s="51">
        <v>-2</v>
      </c>
      <c r="K80" s="79" t="s">
        <v>371</v>
      </c>
    </row>
    <row r="81" spans="1:12" ht="30.75" thickBot="1" x14ac:dyDescent="0.3">
      <c r="A81" s="91" t="s">
        <v>88</v>
      </c>
      <c r="B81" s="92" t="s">
        <v>89</v>
      </c>
      <c r="C81" s="24">
        <f>SUM(C82:C82)+690</f>
        <v>690</v>
      </c>
      <c r="D81" s="24">
        <f>SUM(D82:D82)+690</f>
        <v>690</v>
      </c>
      <c r="E81" s="24">
        <f>SUM(E82:E82)+690</f>
        <v>690</v>
      </c>
      <c r="F81" s="49">
        <f>E81*100/D81</f>
        <v>100</v>
      </c>
      <c r="G81" s="22" t="s">
        <v>90</v>
      </c>
      <c r="H81" s="23" t="s">
        <v>12</v>
      </c>
      <c r="I81" s="21" t="s">
        <v>91</v>
      </c>
      <c r="J81" s="49" t="s">
        <v>430</v>
      </c>
      <c r="K81" s="88" t="s">
        <v>410</v>
      </c>
      <c r="L81" s="35"/>
    </row>
    <row r="82" spans="1:12" ht="30.75" thickBot="1" x14ac:dyDescent="0.3">
      <c r="A82" s="25"/>
      <c r="B82" s="26"/>
      <c r="C82" s="27">
        <v>0</v>
      </c>
      <c r="D82" s="27">
        <v>0</v>
      </c>
      <c r="E82" s="27">
        <v>0</v>
      </c>
      <c r="F82" s="51"/>
      <c r="G82" s="29" t="s">
        <v>92</v>
      </c>
      <c r="H82" s="30" t="s">
        <v>12</v>
      </c>
      <c r="I82" s="28" t="s">
        <v>93</v>
      </c>
      <c r="J82" s="51" t="s">
        <v>431</v>
      </c>
      <c r="K82" s="88" t="s">
        <v>411</v>
      </c>
      <c r="L82" s="35"/>
    </row>
    <row r="83" spans="1:12" ht="45" x14ac:dyDescent="0.25">
      <c r="A83" s="91" t="s">
        <v>94</v>
      </c>
      <c r="B83" s="92" t="s">
        <v>95</v>
      </c>
      <c r="C83" s="24">
        <f>SUM(C84:C88)+82600</f>
        <v>82600</v>
      </c>
      <c r="D83" s="24">
        <f>SUM(D84:D88)+93100</f>
        <v>93100</v>
      </c>
      <c r="E83" s="24">
        <f>SUM(E84:E88)+92623.84</f>
        <v>92623.84</v>
      </c>
      <c r="F83" s="71">
        <f>E83*100/D83</f>
        <v>99.488549946294313</v>
      </c>
      <c r="G83" s="22" t="s">
        <v>96</v>
      </c>
      <c r="H83" s="23" t="s">
        <v>12</v>
      </c>
      <c r="I83" s="21" t="s">
        <v>51</v>
      </c>
      <c r="J83" s="49">
        <v>55</v>
      </c>
      <c r="K83" s="88" t="s">
        <v>404</v>
      </c>
      <c r="L83" s="35"/>
    </row>
    <row r="84" spans="1:12" x14ac:dyDescent="0.25">
      <c r="A84" s="25"/>
      <c r="B84" s="26"/>
      <c r="C84" s="27">
        <v>0</v>
      </c>
      <c r="D84" s="27">
        <v>0</v>
      </c>
      <c r="E84" s="27">
        <v>0</v>
      </c>
      <c r="F84" s="51"/>
      <c r="G84" s="29" t="s">
        <v>97</v>
      </c>
      <c r="H84" s="30" t="s">
        <v>12</v>
      </c>
      <c r="I84" s="28" t="s">
        <v>87</v>
      </c>
      <c r="J84" s="51">
        <v>197</v>
      </c>
      <c r="K84" s="79" t="s">
        <v>405</v>
      </c>
    </row>
    <row r="85" spans="1:12" x14ac:dyDescent="0.25">
      <c r="A85" s="25"/>
      <c r="B85" s="26"/>
      <c r="C85" s="27">
        <v>0</v>
      </c>
      <c r="D85" s="27">
        <v>0</v>
      </c>
      <c r="E85" s="27">
        <v>0</v>
      </c>
      <c r="F85" s="51"/>
      <c r="G85" s="29" t="s">
        <v>98</v>
      </c>
      <c r="H85" s="30" t="s">
        <v>12</v>
      </c>
      <c r="I85" s="28" t="s">
        <v>99</v>
      </c>
      <c r="J85" s="51" t="s">
        <v>432</v>
      </c>
      <c r="K85" s="79" t="s">
        <v>391</v>
      </c>
    </row>
    <row r="86" spans="1:12" x14ac:dyDescent="0.25">
      <c r="A86" s="25"/>
      <c r="B86" s="26"/>
      <c r="C86" s="27">
        <v>0</v>
      </c>
      <c r="D86" s="27">
        <v>0</v>
      </c>
      <c r="E86" s="27">
        <v>0</v>
      </c>
      <c r="F86" s="51"/>
      <c r="G86" s="29" t="s">
        <v>100</v>
      </c>
      <c r="H86" s="30" t="s">
        <v>12</v>
      </c>
      <c r="I86" s="28" t="s">
        <v>57</v>
      </c>
      <c r="J86" s="51">
        <v>30</v>
      </c>
      <c r="K86" s="79"/>
    </row>
    <row r="87" spans="1:12" x14ac:dyDescent="0.25">
      <c r="A87" s="25"/>
      <c r="B87" s="26"/>
      <c r="C87" s="27">
        <v>0</v>
      </c>
      <c r="D87" s="27">
        <v>0</v>
      </c>
      <c r="E87" s="27">
        <v>0</v>
      </c>
      <c r="F87" s="51"/>
      <c r="G87" s="29" t="s">
        <v>101</v>
      </c>
      <c r="H87" s="30" t="s">
        <v>12</v>
      </c>
      <c r="I87" s="28" t="s">
        <v>102</v>
      </c>
      <c r="J87" s="51">
        <v>243</v>
      </c>
      <c r="K87" s="79" t="s">
        <v>372</v>
      </c>
    </row>
    <row r="88" spans="1:12" ht="45" customHeight="1" thickBot="1" x14ac:dyDescent="0.3">
      <c r="A88" s="25"/>
      <c r="B88" s="26"/>
      <c r="C88" s="27">
        <v>0</v>
      </c>
      <c r="D88" s="27">
        <v>0</v>
      </c>
      <c r="E88" s="27">
        <v>0</v>
      </c>
      <c r="F88" s="51"/>
      <c r="G88" s="29" t="s">
        <v>103</v>
      </c>
      <c r="H88" s="30" t="s">
        <v>21</v>
      </c>
      <c r="I88" s="28" t="s">
        <v>104</v>
      </c>
      <c r="J88" s="51">
        <v>54</v>
      </c>
      <c r="K88" s="79" t="s">
        <v>468</v>
      </c>
    </row>
    <row r="89" spans="1:12" ht="30" x14ac:dyDescent="0.25">
      <c r="A89" s="91" t="s">
        <v>105</v>
      </c>
      <c r="B89" s="92" t="s">
        <v>106</v>
      </c>
      <c r="C89" s="24">
        <f>SUM(C90:C93)+9000</f>
        <v>9000</v>
      </c>
      <c r="D89" s="24">
        <f>SUM(D90:D93)+9000</f>
        <v>9000</v>
      </c>
      <c r="E89" s="24">
        <f>SUM(E90:E93)+9000</f>
        <v>9000</v>
      </c>
      <c r="F89" s="49">
        <f>E89*100/D89</f>
        <v>100</v>
      </c>
      <c r="G89" s="22" t="s">
        <v>107</v>
      </c>
      <c r="H89" s="23" t="s">
        <v>12</v>
      </c>
      <c r="I89" s="21" t="s">
        <v>108</v>
      </c>
      <c r="J89" s="49">
        <v>11</v>
      </c>
      <c r="K89" s="88" t="s">
        <v>407</v>
      </c>
    </row>
    <row r="90" spans="1:12" ht="30" x14ac:dyDescent="0.25">
      <c r="A90" s="25"/>
      <c r="B90" s="26"/>
      <c r="C90" s="27">
        <v>0</v>
      </c>
      <c r="D90" s="27">
        <v>0</v>
      </c>
      <c r="E90" s="27">
        <v>0</v>
      </c>
      <c r="F90" s="51"/>
      <c r="G90" s="29" t="s">
        <v>109</v>
      </c>
      <c r="H90" s="30" t="s">
        <v>12</v>
      </c>
      <c r="I90" s="28" t="s">
        <v>110</v>
      </c>
      <c r="J90" s="51">
        <v>6</v>
      </c>
      <c r="K90" s="79" t="s">
        <v>408</v>
      </c>
    </row>
    <row r="91" spans="1:12" x14ac:dyDescent="0.25">
      <c r="A91" s="25"/>
      <c r="B91" s="26"/>
      <c r="C91" s="27">
        <v>0</v>
      </c>
      <c r="D91" s="27">
        <v>0</v>
      </c>
      <c r="E91" s="27">
        <v>0</v>
      </c>
      <c r="F91" s="51"/>
      <c r="G91" s="29" t="s">
        <v>111</v>
      </c>
      <c r="H91" s="30" t="s">
        <v>12</v>
      </c>
      <c r="I91" s="28" t="s">
        <v>22</v>
      </c>
      <c r="J91" s="51">
        <v>119</v>
      </c>
      <c r="K91" s="79" t="s">
        <v>373</v>
      </c>
    </row>
    <row r="92" spans="1:12" ht="135" customHeight="1" x14ac:dyDescent="0.25">
      <c r="A92" s="25"/>
      <c r="B92" s="26"/>
      <c r="C92" s="27">
        <v>0</v>
      </c>
      <c r="D92" s="27">
        <v>0</v>
      </c>
      <c r="E92" s="27">
        <v>0</v>
      </c>
      <c r="F92" s="51"/>
      <c r="G92" s="29" t="s">
        <v>112</v>
      </c>
      <c r="H92" s="30" t="s">
        <v>12</v>
      </c>
      <c r="I92" s="28" t="s">
        <v>110</v>
      </c>
      <c r="J92" s="51">
        <v>6</v>
      </c>
      <c r="K92" s="109" t="s">
        <v>434</v>
      </c>
    </row>
    <row r="93" spans="1:12" ht="30.75" thickBot="1" x14ac:dyDescent="0.3">
      <c r="A93" s="25"/>
      <c r="B93" s="26"/>
      <c r="C93" s="27">
        <v>0</v>
      </c>
      <c r="D93" s="27">
        <v>0</v>
      </c>
      <c r="E93" s="27">
        <v>0</v>
      </c>
      <c r="F93" s="51"/>
      <c r="G93" s="29" t="s">
        <v>113</v>
      </c>
      <c r="H93" s="30" t="s">
        <v>12</v>
      </c>
      <c r="I93" s="28" t="s">
        <v>19</v>
      </c>
      <c r="J93" s="51">
        <v>1</v>
      </c>
      <c r="K93" s="79" t="s">
        <v>374</v>
      </c>
    </row>
    <row r="94" spans="1:12" ht="30" x14ac:dyDescent="0.25">
      <c r="A94" s="91" t="s">
        <v>114</v>
      </c>
      <c r="B94" s="92" t="s">
        <v>115</v>
      </c>
      <c r="C94" s="24">
        <f>SUM(C95:C98)+30700</f>
        <v>30700</v>
      </c>
      <c r="D94" s="24">
        <f>SUM(D95:D98)+30700</f>
        <v>30700</v>
      </c>
      <c r="E94" s="24">
        <f>SUM(E95:E98)+30700</f>
        <v>30700</v>
      </c>
      <c r="F94" s="49">
        <f>E94*100/D94</f>
        <v>100</v>
      </c>
      <c r="G94" s="22" t="s">
        <v>116</v>
      </c>
      <c r="H94" s="23" t="s">
        <v>12</v>
      </c>
      <c r="I94" s="21" t="s">
        <v>117</v>
      </c>
      <c r="J94" s="49" t="s">
        <v>435</v>
      </c>
      <c r="K94" s="110" t="s">
        <v>433</v>
      </c>
    </row>
    <row r="95" spans="1:12" x14ac:dyDescent="0.25">
      <c r="A95" s="25"/>
      <c r="B95" s="26"/>
      <c r="C95" s="27">
        <v>0</v>
      </c>
      <c r="D95" s="27">
        <v>0</v>
      </c>
      <c r="E95" s="27">
        <v>0</v>
      </c>
      <c r="F95" s="51"/>
      <c r="G95" s="29" t="s">
        <v>118</v>
      </c>
      <c r="H95" s="30" t="s">
        <v>12</v>
      </c>
      <c r="I95" s="28" t="s">
        <v>47</v>
      </c>
      <c r="J95" s="51">
        <v>27</v>
      </c>
      <c r="K95" s="111"/>
    </row>
    <row r="96" spans="1:12" ht="75" x14ac:dyDescent="0.25">
      <c r="A96" s="25"/>
      <c r="B96" s="26"/>
      <c r="C96" s="27">
        <v>0</v>
      </c>
      <c r="D96" s="27">
        <v>0</v>
      </c>
      <c r="E96" s="27">
        <v>0</v>
      </c>
      <c r="F96" s="51"/>
      <c r="G96" s="29" t="s">
        <v>119</v>
      </c>
      <c r="H96" s="30" t="s">
        <v>12</v>
      </c>
      <c r="I96" s="28" t="s">
        <v>120</v>
      </c>
      <c r="J96" s="51" t="s">
        <v>436</v>
      </c>
      <c r="K96" s="112" t="s">
        <v>375</v>
      </c>
    </row>
    <row r="97" spans="1:11" ht="45" x14ac:dyDescent="0.25">
      <c r="A97" s="25"/>
      <c r="B97" s="26"/>
      <c r="C97" s="27">
        <v>0</v>
      </c>
      <c r="D97" s="27">
        <v>0</v>
      </c>
      <c r="E97" s="27">
        <v>0</v>
      </c>
      <c r="F97" s="51"/>
      <c r="G97" s="29" t="s">
        <v>121</v>
      </c>
      <c r="H97" s="30" t="s">
        <v>12</v>
      </c>
      <c r="I97" s="28" t="s">
        <v>122</v>
      </c>
      <c r="J97" s="51">
        <v>700</v>
      </c>
      <c r="K97" s="113" t="s">
        <v>376</v>
      </c>
    </row>
    <row r="98" spans="1:11" ht="60" customHeight="1" thickBot="1" x14ac:dyDescent="0.3">
      <c r="A98" s="25"/>
      <c r="B98" s="26"/>
      <c r="C98" s="27">
        <v>0</v>
      </c>
      <c r="D98" s="27">
        <v>0</v>
      </c>
      <c r="E98" s="27">
        <v>0</v>
      </c>
      <c r="F98" s="51"/>
      <c r="G98" s="29" t="s">
        <v>124</v>
      </c>
      <c r="H98" s="30" t="s">
        <v>12</v>
      </c>
      <c r="I98" s="28" t="s">
        <v>125</v>
      </c>
      <c r="J98" s="51" t="s">
        <v>437</v>
      </c>
      <c r="K98" s="114" t="s">
        <v>469</v>
      </c>
    </row>
    <row r="99" spans="1:11" ht="30.75" thickBot="1" x14ac:dyDescent="0.3">
      <c r="A99" s="91" t="s">
        <v>127</v>
      </c>
      <c r="B99" s="92" t="s">
        <v>128</v>
      </c>
      <c r="C99" s="20">
        <v>1000</v>
      </c>
      <c r="D99" s="20">
        <v>1000</v>
      </c>
      <c r="E99" s="20">
        <v>1000</v>
      </c>
      <c r="F99" s="49">
        <f>E99*100/D99</f>
        <v>100</v>
      </c>
      <c r="G99" s="22" t="s">
        <v>129</v>
      </c>
      <c r="H99" s="23" t="s">
        <v>21</v>
      </c>
      <c r="I99" s="21" t="s">
        <v>130</v>
      </c>
      <c r="J99" s="21">
        <v>0.03</v>
      </c>
      <c r="K99" s="108" t="s">
        <v>377</v>
      </c>
    </row>
    <row r="100" spans="1:11" ht="30" x14ac:dyDescent="0.25">
      <c r="A100" s="91" t="s">
        <v>131</v>
      </c>
      <c r="B100" s="92" t="s">
        <v>132</v>
      </c>
      <c r="C100" s="24">
        <f>SUM(C101:C101)+9580</f>
        <v>9580</v>
      </c>
      <c r="D100" s="24">
        <f>SUM(D101:D101)+9580</f>
        <v>9580</v>
      </c>
      <c r="E100" s="24">
        <f>SUM(E101:E101)+9580</f>
        <v>9580</v>
      </c>
      <c r="F100" s="49">
        <f>E100*100/D100</f>
        <v>100</v>
      </c>
      <c r="G100" s="22" t="s">
        <v>133</v>
      </c>
      <c r="H100" s="23" t="s">
        <v>12</v>
      </c>
      <c r="I100" s="21" t="s">
        <v>122</v>
      </c>
      <c r="J100" s="49">
        <v>504</v>
      </c>
      <c r="K100" s="88" t="s">
        <v>398</v>
      </c>
    </row>
    <row r="101" spans="1:11" ht="75.75" thickBot="1" x14ac:dyDescent="0.3">
      <c r="A101" s="25"/>
      <c r="B101" s="26"/>
      <c r="C101" s="27">
        <v>0</v>
      </c>
      <c r="D101" s="27">
        <v>0</v>
      </c>
      <c r="E101" s="27">
        <v>0</v>
      </c>
      <c r="F101" s="51"/>
      <c r="G101" s="29" t="s">
        <v>134</v>
      </c>
      <c r="H101" s="30" t="s">
        <v>21</v>
      </c>
      <c r="I101" s="28" t="s">
        <v>135</v>
      </c>
      <c r="J101" s="51">
        <v>0</v>
      </c>
      <c r="K101" s="79" t="s">
        <v>409</v>
      </c>
    </row>
    <row r="102" spans="1:11" ht="30" x14ac:dyDescent="0.25">
      <c r="A102" s="91" t="s">
        <v>136</v>
      </c>
      <c r="B102" s="92" t="s">
        <v>137</v>
      </c>
      <c r="C102" s="24">
        <f>SUM(C103:C103)+4200</f>
        <v>4200</v>
      </c>
      <c r="D102" s="24">
        <f>SUM(D103:D103)+4200</f>
        <v>4200</v>
      </c>
      <c r="E102" s="24">
        <f>SUM(E103:E103)+4200</f>
        <v>4200</v>
      </c>
      <c r="F102" s="49">
        <f>E102*100/D102</f>
        <v>100</v>
      </c>
      <c r="G102" s="103" t="s">
        <v>129</v>
      </c>
      <c r="H102" s="104" t="s">
        <v>21</v>
      </c>
      <c r="I102" s="105" t="s">
        <v>47</v>
      </c>
      <c r="J102" s="71">
        <v>18</v>
      </c>
      <c r="K102" s="171" t="s">
        <v>377</v>
      </c>
    </row>
    <row r="103" spans="1:11" ht="45.75" thickBot="1" x14ac:dyDescent="0.3">
      <c r="A103" s="25"/>
      <c r="B103" s="26"/>
      <c r="C103" s="27">
        <v>0</v>
      </c>
      <c r="D103" s="27">
        <v>0</v>
      </c>
      <c r="E103" s="27">
        <v>0</v>
      </c>
      <c r="F103" s="51"/>
      <c r="G103" s="29" t="s">
        <v>138</v>
      </c>
      <c r="H103" s="30" t="s">
        <v>21</v>
      </c>
      <c r="I103" s="28" t="s">
        <v>139</v>
      </c>
      <c r="J103" s="28">
        <v>31.17</v>
      </c>
      <c r="K103" s="79" t="s">
        <v>470</v>
      </c>
    </row>
    <row r="104" spans="1:11" ht="45" customHeight="1" thickBot="1" x14ac:dyDescent="0.3">
      <c r="A104" s="91" t="s">
        <v>140</v>
      </c>
      <c r="B104" s="92" t="s">
        <v>141</v>
      </c>
      <c r="C104" s="20">
        <v>31800</v>
      </c>
      <c r="D104" s="20">
        <v>35500</v>
      </c>
      <c r="E104" s="20">
        <v>35456.480000000003</v>
      </c>
      <c r="F104" s="71">
        <f>E104*100/D104</f>
        <v>99.877408450704237</v>
      </c>
      <c r="G104" s="22" t="s">
        <v>142</v>
      </c>
      <c r="H104" s="23" t="s">
        <v>12</v>
      </c>
      <c r="I104" s="21" t="s">
        <v>19</v>
      </c>
      <c r="J104" s="49">
        <v>1</v>
      </c>
      <c r="K104" s="88" t="s">
        <v>453</v>
      </c>
    </row>
    <row r="105" spans="1:11" ht="60" x14ac:dyDescent="0.25">
      <c r="A105" s="196" t="s">
        <v>143</v>
      </c>
      <c r="B105" s="197" t="s">
        <v>144</v>
      </c>
      <c r="C105" s="198">
        <f>SUM(C106:C108)+90700</f>
        <v>90700</v>
      </c>
      <c r="D105" s="198">
        <f>SUM(D106:D108)+90700</f>
        <v>90700</v>
      </c>
      <c r="E105" s="198">
        <f>SUM(E106:E108)+58895.37</f>
        <v>58895.37</v>
      </c>
      <c r="F105" s="199">
        <f>E105*100/D105</f>
        <v>64.934255788313124</v>
      </c>
      <c r="G105" s="200" t="s">
        <v>145</v>
      </c>
      <c r="H105" s="201" t="s">
        <v>12</v>
      </c>
      <c r="I105" s="202" t="s">
        <v>146</v>
      </c>
      <c r="J105" s="203">
        <v>0</v>
      </c>
      <c r="K105" s="204" t="s">
        <v>378</v>
      </c>
    </row>
    <row r="106" spans="1:11" ht="105" x14ac:dyDescent="0.25">
      <c r="A106" s="205"/>
      <c r="B106" s="206"/>
      <c r="C106" s="207">
        <v>0</v>
      </c>
      <c r="D106" s="207">
        <v>0</v>
      </c>
      <c r="E106" s="207">
        <v>0</v>
      </c>
      <c r="F106" s="208"/>
      <c r="G106" s="209" t="s">
        <v>147</v>
      </c>
      <c r="H106" s="210" t="s">
        <v>21</v>
      </c>
      <c r="I106" s="211" t="s">
        <v>148</v>
      </c>
      <c r="J106" s="208">
        <v>88</v>
      </c>
      <c r="K106" s="212" t="s">
        <v>471</v>
      </c>
    </row>
    <row r="107" spans="1:11" ht="228" customHeight="1" x14ac:dyDescent="0.25">
      <c r="A107" s="205"/>
      <c r="B107" s="206"/>
      <c r="C107" s="207">
        <v>0</v>
      </c>
      <c r="D107" s="207">
        <v>0</v>
      </c>
      <c r="E107" s="207">
        <v>0</v>
      </c>
      <c r="F107" s="208"/>
      <c r="G107" s="209" t="s">
        <v>331</v>
      </c>
      <c r="H107" s="210" t="s">
        <v>12</v>
      </c>
      <c r="I107" s="211" t="s">
        <v>149</v>
      </c>
      <c r="J107" s="208">
        <v>6</v>
      </c>
      <c r="K107" s="212" t="s">
        <v>472</v>
      </c>
    </row>
    <row r="108" spans="1:11" ht="81" customHeight="1" thickBot="1" x14ac:dyDescent="0.3">
      <c r="A108" s="205"/>
      <c r="B108" s="206"/>
      <c r="C108" s="207">
        <v>0</v>
      </c>
      <c r="D108" s="207">
        <v>0</v>
      </c>
      <c r="E108" s="207">
        <v>0</v>
      </c>
      <c r="F108" s="208"/>
      <c r="G108" s="209" t="s">
        <v>150</v>
      </c>
      <c r="H108" s="210" t="s">
        <v>12</v>
      </c>
      <c r="I108" s="211" t="s">
        <v>110</v>
      </c>
      <c r="J108" s="208">
        <v>0</v>
      </c>
      <c r="K108" s="212" t="s">
        <v>424</v>
      </c>
    </row>
    <row r="109" spans="1:11" ht="75" x14ac:dyDescent="0.25">
      <c r="A109" s="91" t="s">
        <v>151</v>
      </c>
      <c r="B109" s="92" t="s">
        <v>152</v>
      </c>
      <c r="C109" s="24">
        <f>SUM(C110:C110)+21200</f>
        <v>21200</v>
      </c>
      <c r="D109" s="24">
        <f>SUM(D110:D110)+21200</f>
        <v>21200</v>
      </c>
      <c r="E109" s="24">
        <f>SUM(E110:E110)+21200</f>
        <v>21200</v>
      </c>
      <c r="F109" s="49">
        <f>E109*100/D109</f>
        <v>100</v>
      </c>
      <c r="G109" s="22" t="s">
        <v>153</v>
      </c>
      <c r="H109" s="23" t="s">
        <v>21</v>
      </c>
      <c r="I109" s="21" t="s">
        <v>154</v>
      </c>
      <c r="J109" s="49">
        <v>19</v>
      </c>
      <c r="K109" s="88" t="s">
        <v>392</v>
      </c>
    </row>
    <row r="110" spans="1:11" ht="45" x14ac:dyDescent="0.25">
      <c r="A110" s="25"/>
      <c r="B110" s="26"/>
      <c r="C110" s="27">
        <v>0</v>
      </c>
      <c r="D110" s="27">
        <v>0</v>
      </c>
      <c r="E110" s="27">
        <v>0</v>
      </c>
      <c r="F110" s="51"/>
      <c r="G110" s="29" t="s">
        <v>155</v>
      </c>
      <c r="H110" s="30" t="s">
        <v>21</v>
      </c>
      <c r="I110" s="28" t="s">
        <v>156</v>
      </c>
      <c r="J110" s="51">
        <v>85</v>
      </c>
      <c r="K110" s="115"/>
    </row>
    <row r="111" spans="1:11" ht="75" x14ac:dyDescent="0.25">
      <c r="A111" s="91" t="s">
        <v>157</v>
      </c>
      <c r="B111" s="92" t="s">
        <v>158</v>
      </c>
      <c r="C111" s="20">
        <v>80799</v>
      </c>
      <c r="D111" s="20">
        <v>55433</v>
      </c>
      <c r="E111" s="20">
        <v>55433</v>
      </c>
      <c r="F111" s="49">
        <f>E111*100/D111</f>
        <v>100</v>
      </c>
      <c r="G111" s="22" t="s">
        <v>159</v>
      </c>
      <c r="H111" s="23" t="s">
        <v>21</v>
      </c>
      <c r="I111" s="21" t="s">
        <v>48</v>
      </c>
      <c r="J111" s="49">
        <v>2</v>
      </c>
      <c r="K111" s="88" t="s">
        <v>438</v>
      </c>
    </row>
    <row r="112" spans="1:11" ht="60" x14ac:dyDescent="0.25">
      <c r="A112" s="91" t="s">
        <v>160</v>
      </c>
      <c r="B112" s="92" t="s">
        <v>161</v>
      </c>
      <c r="C112" s="20">
        <v>11164</v>
      </c>
      <c r="D112" s="20">
        <v>11690</v>
      </c>
      <c r="E112" s="20">
        <v>11106.36</v>
      </c>
      <c r="F112" s="71">
        <f t="shared" ref="F112:F117" si="0">E112*100/D112</f>
        <v>95.007356715141142</v>
      </c>
      <c r="G112" s="22" t="s">
        <v>162</v>
      </c>
      <c r="H112" s="23" t="s">
        <v>21</v>
      </c>
      <c r="I112" s="21" t="s">
        <v>48</v>
      </c>
      <c r="J112" s="49">
        <v>3</v>
      </c>
      <c r="K112" s="88" t="s">
        <v>379</v>
      </c>
    </row>
    <row r="113" spans="1:12" ht="30" x14ac:dyDescent="0.25">
      <c r="A113" s="91" t="s">
        <v>163</v>
      </c>
      <c r="B113" s="92" t="s">
        <v>164</v>
      </c>
      <c r="C113" s="20">
        <v>5938</v>
      </c>
      <c r="D113" s="20">
        <v>5938</v>
      </c>
      <c r="E113" s="20">
        <v>3502.34</v>
      </c>
      <c r="F113" s="71">
        <f>E113*100/D113</f>
        <v>58.981812057931961</v>
      </c>
      <c r="G113" s="22" t="s">
        <v>165</v>
      </c>
      <c r="H113" s="23" t="s">
        <v>21</v>
      </c>
      <c r="I113" s="21" t="s">
        <v>53</v>
      </c>
      <c r="J113" s="49">
        <v>4</v>
      </c>
      <c r="K113" s="88" t="s">
        <v>380</v>
      </c>
    </row>
    <row r="114" spans="1:12" ht="45" x14ac:dyDescent="0.25">
      <c r="A114" s="91" t="s">
        <v>166</v>
      </c>
      <c r="B114" s="92" t="s">
        <v>167</v>
      </c>
      <c r="C114" s="20">
        <v>24812</v>
      </c>
      <c r="D114" s="20">
        <v>22200.65</v>
      </c>
      <c r="E114" s="20">
        <v>21386.84</v>
      </c>
      <c r="F114" s="71">
        <f t="shared" si="0"/>
        <v>96.334296518345184</v>
      </c>
      <c r="G114" s="22" t="s">
        <v>168</v>
      </c>
      <c r="H114" s="23" t="s">
        <v>21</v>
      </c>
      <c r="I114" s="21" t="s">
        <v>169</v>
      </c>
      <c r="J114" s="21">
        <v>3.26</v>
      </c>
      <c r="K114" s="88" t="s">
        <v>381</v>
      </c>
    </row>
    <row r="115" spans="1:12" ht="45" customHeight="1" x14ac:dyDescent="0.25">
      <c r="A115" s="91" t="s">
        <v>170</v>
      </c>
      <c r="B115" s="92" t="s">
        <v>171</v>
      </c>
      <c r="C115" s="20">
        <v>91000</v>
      </c>
      <c r="D115" s="20">
        <v>89521</v>
      </c>
      <c r="E115" s="20">
        <v>89167.76</v>
      </c>
      <c r="F115" s="49">
        <f t="shared" si="0"/>
        <v>99.605411020877781</v>
      </c>
      <c r="G115" s="22" t="s">
        <v>172</v>
      </c>
      <c r="H115" s="23" t="s">
        <v>21</v>
      </c>
      <c r="I115" s="21" t="s">
        <v>173</v>
      </c>
      <c r="J115" s="49">
        <v>0.7</v>
      </c>
      <c r="K115" s="88" t="s">
        <v>473</v>
      </c>
    </row>
    <row r="116" spans="1:12" ht="30.75" thickBot="1" x14ac:dyDescent="0.3">
      <c r="A116" s="116" t="s">
        <v>174</v>
      </c>
      <c r="B116" s="117" t="s">
        <v>175</v>
      </c>
      <c r="C116" s="118">
        <v>287000</v>
      </c>
      <c r="D116" s="118">
        <v>342852.9</v>
      </c>
      <c r="E116" s="118">
        <v>342852.9</v>
      </c>
      <c r="F116" s="119">
        <f t="shared" si="0"/>
        <v>100</v>
      </c>
      <c r="G116" s="120" t="s">
        <v>176</v>
      </c>
      <c r="H116" s="121" t="s">
        <v>21</v>
      </c>
      <c r="I116" s="122" t="s">
        <v>177</v>
      </c>
      <c r="J116" s="119">
        <v>4.0999999999999996</v>
      </c>
      <c r="K116" s="123" t="s">
        <v>390</v>
      </c>
    </row>
    <row r="117" spans="1:12" ht="75" customHeight="1" x14ac:dyDescent="0.25">
      <c r="A117" s="124" t="s">
        <v>178</v>
      </c>
      <c r="B117" s="125" t="s">
        <v>179</v>
      </c>
      <c r="C117" s="126">
        <f>SUM(C118:C122)+307800</f>
        <v>307800</v>
      </c>
      <c r="D117" s="126">
        <f>SUM(D118:D122)+330300</f>
        <v>330300</v>
      </c>
      <c r="E117" s="126">
        <f>SUM(E118:E122)+330281.93</f>
        <v>330281.93</v>
      </c>
      <c r="F117" s="127">
        <f t="shared" si="0"/>
        <v>99.994529215864361</v>
      </c>
      <c r="G117" s="128" t="s">
        <v>180</v>
      </c>
      <c r="H117" s="129" t="s">
        <v>12</v>
      </c>
      <c r="I117" s="130" t="s">
        <v>181</v>
      </c>
      <c r="J117" s="131" t="s">
        <v>439</v>
      </c>
      <c r="K117" s="132" t="s">
        <v>396</v>
      </c>
    </row>
    <row r="118" spans="1:12" x14ac:dyDescent="0.25">
      <c r="A118" s="133"/>
      <c r="B118" s="26"/>
      <c r="C118" s="27">
        <v>0</v>
      </c>
      <c r="D118" s="27">
        <v>0</v>
      </c>
      <c r="E118" s="27">
        <v>0</v>
      </c>
      <c r="F118" s="51"/>
      <c r="G118" s="29" t="s">
        <v>182</v>
      </c>
      <c r="H118" s="30" t="s">
        <v>12</v>
      </c>
      <c r="I118" s="134" t="s">
        <v>183</v>
      </c>
      <c r="J118" s="135" t="s">
        <v>440</v>
      </c>
      <c r="K118" s="136" t="s">
        <v>419</v>
      </c>
    </row>
    <row r="119" spans="1:12" x14ac:dyDescent="0.25">
      <c r="A119" s="133"/>
      <c r="B119" s="26"/>
      <c r="C119" s="27">
        <v>0</v>
      </c>
      <c r="D119" s="27">
        <v>0</v>
      </c>
      <c r="E119" s="27">
        <v>0</v>
      </c>
      <c r="F119" s="51"/>
      <c r="G119" s="29" t="s">
        <v>184</v>
      </c>
      <c r="H119" s="30" t="s">
        <v>12</v>
      </c>
      <c r="I119" s="134" t="s">
        <v>185</v>
      </c>
      <c r="J119" s="135" t="s">
        <v>441</v>
      </c>
      <c r="K119" s="136" t="s">
        <v>382</v>
      </c>
    </row>
    <row r="120" spans="1:12" x14ac:dyDescent="0.25">
      <c r="A120" s="133"/>
      <c r="B120" s="26"/>
      <c r="C120" s="27">
        <v>0</v>
      </c>
      <c r="D120" s="27">
        <v>0</v>
      </c>
      <c r="E120" s="27">
        <v>0</v>
      </c>
      <c r="F120" s="51"/>
      <c r="G120" s="29" t="s">
        <v>186</v>
      </c>
      <c r="H120" s="30" t="s">
        <v>12</v>
      </c>
      <c r="I120" s="134" t="s">
        <v>73</v>
      </c>
      <c r="J120" s="135">
        <v>338</v>
      </c>
      <c r="K120" s="137" t="s">
        <v>397</v>
      </c>
    </row>
    <row r="121" spans="1:12" ht="60" x14ac:dyDescent="0.25">
      <c r="A121" s="133"/>
      <c r="B121" s="26"/>
      <c r="C121" s="27">
        <v>0</v>
      </c>
      <c r="D121" s="27">
        <v>0</v>
      </c>
      <c r="E121" s="27">
        <v>0</v>
      </c>
      <c r="F121" s="51"/>
      <c r="G121" s="29" t="s">
        <v>187</v>
      </c>
      <c r="H121" s="30" t="s">
        <v>12</v>
      </c>
      <c r="I121" s="134" t="s">
        <v>188</v>
      </c>
      <c r="J121" s="135">
        <v>700</v>
      </c>
      <c r="K121" s="138" t="s">
        <v>474</v>
      </c>
    </row>
    <row r="122" spans="1:12" ht="30.75" thickBot="1" x14ac:dyDescent="0.3">
      <c r="A122" s="139"/>
      <c r="B122" s="140"/>
      <c r="C122" s="141">
        <v>0</v>
      </c>
      <c r="D122" s="141">
        <v>0</v>
      </c>
      <c r="E122" s="141">
        <v>0</v>
      </c>
      <c r="F122" s="142"/>
      <c r="G122" s="143" t="s">
        <v>189</v>
      </c>
      <c r="H122" s="144" t="s">
        <v>12</v>
      </c>
      <c r="I122" s="145" t="s">
        <v>126</v>
      </c>
      <c r="J122" s="146" t="s">
        <v>442</v>
      </c>
      <c r="K122" s="147" t="s">
        <v>414</v>
      </c>
    </row>
    <row r="123" spans="1:12" ht="30" customHeight="1" thickBot="1" x14ac:dyDescent="0.3">
      <c r="A123" s="148" t="s">
        <v>190</v>
      </c>
      <c r="B123" s="149" t="s">
        <v>191</v>
      </c>
      <c r="C123" s="150">
        <v>11500</v>
      </c>
      <c r="D123" s="150">
        <v>10750</v>
      </c>
      <c r="E123" s="150">
        <v>10665.09</v>
      </c>
      <c r="F123" s="151">
        <f>E123*100/D123</f>
        <v>99.210139534883723</v>
      </c>
      <c r="G123" s="152" t="s">
        <v>192</v>
      </c>
      <c r="H123" s="153" t="s">
        <v>21</v>
      </c>
      <c r="I123" s="154" t="s">
        <v>76</v>
      </c>
      <c r="J123" s="151">
        <v>100</v>
      </c>
      <c r="K123" s="108" t="s">
        <v>475</v>
      </c>
    </row>
    <row r="124" spans="1:12" ht="75" customHeight="1" thickBot="1" x14ac:dyDescent="0.3">
      <c r="A124" s="155" t="s">
        <v>193</v>
      </c>
      <c r="B124" s="156" t="s">
        <v>194</v>
      </c>
      <c r="C124" s="157">
        <v>1973</v>
      </c>
      <c r="D124" s="157">
        <v>740.61</v>
      </c>
      <c r="E124" s="157">
        <v>740.61</v>
      </c>
      <c r="F124" s="71">
        <f t="shared" ref="F124:F130" si="1">E124*100/D124</f>
        <v>100</v>
      </c>
      <c r="G124" s="103" t="s">
        <v>195</v>
      </c>
      <c r="H124" s="104" t="s">
        <v>12</v>
      </c>
      <c r="I124" s="105" t="s">
        <v>196</v>
      </c>
      <c r="J124" s="71">
        <v>12</v>
      </c>
      <c r="K124" s="88" t="s">
        <v>476</v>
      </c>
    </row>
    <row r="125" spans="1:12" ht="60.75" thickBot="1" x14ac:dyDescent="0.3">
      <c r="A125" s="91" t="s">
        <v>197</v>
      </c>
      <c r="B125" s="92" t="s">
        <v>198</v>
      </c>
      <c r="C125" s="20">
        <v>33570</v>
      </c>
      <c r="D125" s="20">
        <v>33570</v>
      </c>
      <c r="E125" s="20">
        <v>33570</v>
      </c>
      <c r="F125" s="49">
        <f t="shared" si="1"/>
        <v>100</v>
      </c>
      <c r="G125" s="22" t="s">
        <v>199</v>
      </c>
      <c r="H125" s="23" t="s">
        <v>12</v>
      </c>
      <c r="I125" s="21" t="s">
        <v>35</v>
      </c>
      <c r="J125" s="49">
        <v>12</v>
      </c>
      <c r="K125" s="88" t="s">
        <v>412</v>
      </c>
    </row>
    <row r="126" spans="1:12" ht="30.75" thickBot="1" x14ac:dyDescent="0.3">
      <c r="A126" s="91" t="s">
        <v>200</v>
      </c>
      <c r="B126" s="92" t="s">
        <v>201</v>
      </c>
      <c r="C126" s="20">
        <v>15596</v>
      </c>
      <c r="D126" s="20">
        <v>15596</v>
      </c>
      <c r="E126" s="20">
        <v>15596</v>
      </c>
      <c r="F126" s="49">
        <f t="shared" si="1"/>
        <v>100</v>
      </c>
      <c r="G126" s="22" t="s">
        <v>202</v>
      </c>
      <c r="H126" s="23" t="s">
        <v>12</v>
      </c>
      <c r="I126" s="21" t="s">
        <v>123</v>
      </c>
      <c r="J126" s="49">
        <v>751</v>
      </c>
      <c r="K126" s="88" t="s">
        <v>383</v>
      </c>
    </row>
    <row r="127" spans="1:12" ht="30.75" thickBot="1" x14ac:dyDescent="0.3">
      <c r="A127" s="91" t="s">
        <v>203</v>
      </c>
      <c r="B127" s="92" t="s">
        <v>204</v>
      </c>
      <c r="C127" s="20">
        <v>5500</v>
      </c>
      <c r="D127" s="20">
        <v>5500</v>
      </c>
      <c r="E127" s="20">
        <v>5500</v>
      </c>
      <c r="F127" s="49">
        <f t="shared" si="1"/>
        <v>100</v>
      </c>
      <c r="G127" s="22" t="s">
        <v>205</v>
      </c>
      <c r="H127" s="23" t="s">
        <v>21</v>
      </c>
      <c r="I127" s="21" t="s">
        <v>17</v>
      </c>
      <c r="J127" s="49">
        <v>2</v>
      </c>
      <c r="K127" s="88" t="s">
        <v>477</v>
      </c>
    </row>
    <row r="128" spans="1:12" ht="30.75" hidden="1" thickBot="1" x14ac:dyDescent="0.3">
      <c r="A128" s="81" t="s">
        <v>206</v>
      </c>
      <c r="B128" s="82" t="s">
        <v>207</v>
      </c>
      <c r="C128" s="83">
        <v>0</v>
      </c>
      <c r="D128" s="83">
        <v>0</v>
      </c>
      <c r="E128" s="83">
        <v>0</v>
      </c>
      <c r="F128" s="77" t="e">
        <f t="shared" si="1"/>
        <v>#DIV/0!</v>
      </c>
      <c r="G128" s="84" t="s">
        <v>208</v>
      </c>
      <c r="H128" s="85" t="s">
        <v>21</v>
      </c>
      <c r="I128" s="86" t="s">
        <v>17</v>
      </c>
      <c r="J128" s="77">
        <v>0</v>
      </c>
      <c r="K128" s="80" t="s">
        <v>417</v>
      </c>
      <c r="L128" s="89"/>
    </row>
    <row r="129" spans="1:12" ht="30.75" thickBot="1" x14ac:dyDescent="0.3">
      <c r="A129" s="91" t="s">
        <v>209</v>
      </c>
      <c r="B129" s="92" t="s">
        <v>210</v>
      </c>
      <c r="C129" s="20">
        <v>2972</v>
      </c>
      <c r="D129" s="20">
        <v>1958</v>
      </c>
      <c r="E129" s="20">
        <v>1630.1</v>
      </c>
      <c r="F129" s="49">
        <f t="shared" si="1"/>
        <v>83.253319713993875</v>
      </c>
      <c r="G129" s="22" t="s">
        <v>211</v>
      </c>
      <c r="H129" s="23" t="s">
        <v>21</v>
      </c>
      <c r="I129" s="21" t="s">
        <v>48</v>
      </c>
      <c r="J129" s="49">
        <v>3</v>
      </c>
      <c r="K129" s="88" t="s">
        <v>384</v>
      </c>
    </row>
    <row r="130" spans="1:12" ht="105" x14ac:dyDescent="0.25">
      <c r="A130" s="91" t="s">
        <v>212</v>
      </c>
      <c r="B130" s="92" t="s">
        <v>213</v>
      </c>
      <c r="C130" s="24">
        <f>SUM(C131:C132)+65844</f>
        <v>65844</v>
      </c>
      <c r="D130" s="24">
        <f>SUM(D131:D132)+65844</f>
        <v>65844</v>
      </c>
      <c r="E130" s="24">
        <f>SUM(E131:E132)+65844</f>
        <v>65844</v>
      </c>
      <c r="F130" s="49">
        <f t="shared" si="1"/>
        <v>100</v>
      </c>
      <c r="G130" s="22" t="s">
        <v>214</v>
      </c>
      <c r="H130" s="23" t="s">
        <v>12</v>
      </c>
      <c r="I130" s="21" t="s">
        <v>87</v>
      </c>
      <c r="J130" s="49">
        <v>262</v>
      </c>
      <c r="K130" s="88" t="s">
        <v>478</v>
      </c>
      <c r="L130" s="158"/>
    </row>
    <row r="131" spans="1:12" x14ac:dyDescent="0.25">
      <c r="A131" s="25"/>
      <c r="B131" s="26"/>
      <c r="C131" s="27">
        <v>0</v>
      </c>
      <c r="D131" s="27">
        <v>0</v>
      </c>
      <c r="E131" s="27">
        <v>0</v>
      </c>
      <c r="F131" s="51"/>
      <c r="G131" s="29" t="s">
        <v>215</v>
      </c>
      <c r="H131" s="30" t="s">
        <v>12</v>
      </c>
      <c r="I131" s="28" t="s">
        <v>46</v>
      </c>
      <c r="J131" s="51">
        <v>44</v>
      </c>
      <c r="K131" s="79" t="s">
        <v>479</v>
      </c>
    </row>
    <row r="132" spans="1:12" x14ac:dyDescent="0.25">
      <c r="A132" s="25"/>
      <c r="B132" s="26"/>
      <c r="C132" s="27">
        <v>0</v>
      </c>
      <c r="D132" s="27">
        <v>0</v>
      </c>
      <c r="E132" s="27">
        <v>0</v>
      </c>
      <c r="F132" s="51"/>
      <c r="G132" s="29" t="s">
        <v>216</v>
      </c>
      <c r="H132" s="30" t="s">
        <v>21</v>
      </c>
      <c r="I132" s="28" t="s">
        <v>76</v>
      </c>
      <c r="J132" s="51">
        <v>100</v>
      </c>
      <c r="K132" s="115"/>
    </row>
    <row r="133" spans="1:12" ht="45.75" thickBot="1" x14ac:dyDescent="0.3">
      <c r="A133" s="155" t="s">
        <v>217</v>
      </c>
      <c r="B133" s="156" t="s">
        <v>218</v>
      </c>
      <c r="C133" s="157">
        <v>66223</v>
      </c>
      <c r="D133" s="157">
        <v>66489.990000000005</v>
      </c>
      <c r="E133" s="157">
        <v>62879.01</v>
      </c>
      <c r="F133" s="71">
        <f>E133*100/D133</f>
        <v>94.569137399479217</v>
      </c>
      <c r="G133" s="103" t="s">
        <v>216</v>
      </c>
      <c r="H133" s="23" t="s">
        <v>21</v>
      </c>
      <c r="I133" s="21" t="s">
        <v>76</v>
      </c>
      <c r="J133" s="49">
        <v>100</v>
      </c>
      <c r="K133" s="88" t="s">
        <v>385</v>
      </c>
    </row>
    <row r="134" spans="1:12" ht="30.75" thickBot="1" x14ac:dyDescent="0.3">
      <c r="A134" s="15" t="s">
        <v>219</v>
      </c>
      <c r="B134" s="16" t="s">
        <v>220</v>
      </c>
      <c r="C134" s="17">
        <f>C135+C137</f>
        <v>3447800</v>
      </c>
      <c r="D134" s="17">
        <f>D135+D137</f>
        <v>3517950</v>
      </c>
      <c r="E134" s="17">
        <f>E135+E137</f>
        <v>3287274.26</v>
      </c>
      <c r="F134" s="52">
        <f>E134*100/D134</f>
        <v>93.44289316221095</v>
      </c>
      <c r="G134" s="18" t="s">
        <v>320</v>
      </c>
      <c r="H134" s="19" t="s">
        <v>21</v>
      </c>
      <c r="I134" s="52">
        <v>100</v>
      </c>
      <c r="J134" s="176">
        <v>97.23</v>
      </c>
      <c r="K134" s="90" t="s">
        <v>480</v>
      </c>
    </row>
    <row r="135" spans="1:12" ht="106.5" customHeight="1" x14ac:dyDescent="0.25">
      <c r="A135" s="91" t="s">
        <v>221</v>
      </c>
      <c r="B135" s="92" t="s">
        <v>222</v>
      </c>
      <c r="C135" s="24">
        <f>SUM(C136:C136)+3318300</f>
        <v>3318300</v>
      </c>
      <c r="D135" s="24">
        <f>SUM(D136:D136)+3381000</f>
        <v>3381000</v>
      </c>
      <c r="E135" s="24">
        <v>3287274.26</v>
      </c>
      <c r="F135" s="71">
        <f>E135*100/D135</f>
        <v>97.227869269446913</v>
      </c>
      <c r="G135" s="22" t="s">
        <v>223</v>
      </c>
      <c r="H135" s="23" t="s">
        <v>12</v>
      </c>
      <c r="I135" s="21" t="s">
        <v>196</v>
      </c>
      <c r="J135" s="49">
        <v>8</v>
      </c>
      <c r="K135" s="88" t="s">
        <v>481</v>
      </c>
    </row>
    <row r="136" spans="1:12" ht="225" customHeight="1" thickBot="1" x14ac:dyDescent="0.3">
      <c r="A136" s="25"/>
      <c r="B136" s="26"/>
      <c r="C136" s="27">
        <v>0</v>
      </c>
      <c r="D136" s="27">
        <v>0</v>
      </c>
      <c r="E136" s="27">
        <v>0</v>
      </c>
      <c r="F136" s="51"/>
      <c r="G136" s="29" t="s">
        <v>224</v>
      </c>
      <c r="H136" s="30" t="s">
        <v>21</v>
      </c>
      <c r="I136" s="28" t="s">
        <v>63</v>
      </c>
      <c r="J136" s="51">
        <v>16</v>
      </c>
      <c r="K136" s="79" t="s">
        <v>460</v>
      </c>
    </row>
    <row r="137" spans="1:12" ht="75.75" thickBot="1" x14ac:dyDescent="0.3">
      <c r="A137" s="91" t="s">
        <v>225</v>
      </c>
      <c r="B137" s="92" t="s">
        <v>329</v>
      </c>
      <c r="C137" s="20">
        <v>129500</v>
      </c>
      <c r="D137" s="20">
        <v>136950</v>
      </c>
      <c r="E137" s="20">
        <v>0</v>
      </c>
      <c r="F137" s="71">
        <f>E137*100/D137</f>
        <v>0</v>
      </c>
      <c r="G137" s="22" t="s">
        <v>226</v>
      </c>
      <c r="H137" s="23" t="s">
        <v>12</v>
      </c>
      <c r="I137" s="21" t="s">
        <v>19</v>
      </c>
      <c r="J137" s="49">
        <v>0</v>
      </c>
      <c r="K137" s="88" t="s">
        <v>386</v>
      </c>
    </row>
    <row r="138" spans="1:12" ht="60.75" thickBot="1" x14ac:dyDescent="0.3">
      <c r="A138" s="15" t="s">
        <v>227</v>
      </c>
      <c r="B138" s="16" t="s">
        <v>228</v>
      </c>
      <c r="C138" s="17">
        <f>C139+C143+C144+C145</f>
        <v>275005.54000000004</v>
      </c>
      <c r="D138" s="17">
        <f>D139+D143+D144+D145</f>
        <v>274605.53999999998</v>
      </c>
      <c r="E138" s="17">
        <f>E139+E143+E144+E145</f>
        <v>200418.41999999998</v>
      </c>
      <c r="F138" s="52">
        <f>E138*100/D138</f>
        <v>72.984113867476964</v>
      </c>
      <c r="G138" s="18" t="s">
        <v>319</v>
      </c>
      <c r="H138" s="19" t="s">
        <v>21</v>
      </c>
      <c r="I138" s="52">
        <v>1</v>
      </c>
      <c r="J138" s="176">
        <v>0.8</v>
      </c>
      <c r="K138" s="90" t="s">
        <v>454</v>
      </c>
    </row>
    <row r="139" spans="1:12" ht="60" x14ac:dyDescent="0.25">
      <c r="A139" s="91" t="s">
        <v>229</v>
      </c>
      <c r="B139" s="92" t="s">
        <v>230</v>
      </c>
      <c r="C139" s="24">
        <f>SUM(C140:C142)+151355.54</f>
        <v>151355.54</v>
      </c>
      <c r="D139" s="24">
        <f>SUM(D140:D142)+129343.54</f>
        <v>129343.54</v>
      </c>
      <c r="E139" s="24">
        <f>SUM(E140:E142)+72947.42</f>
        <v>72947.42</v>
      </c>
      <c r="F139" s="71">
        <f>E139*100/D139</f>
        <v>56.398193524005919</v>
      </c>
      <c r="G139" s="22" t="s">
        <v>231</v>
      </c>
      <c r="H139" s="23" t="s">
        <v>12</v>
      </c>
      <c r="I139" s="21" t="s">
        <v>232</v>
      </c>
      <c r="J139" s="49">
        <v>250</v>
      </c>
      <c r="K139" s="88" t="s">
        <v>420</v>
      </c>
    </row>
    <row r="140" spans="1:12" ht="60" x14ac:dyDescent="0.25">
      <c r="A140" s="25"/>
      <c r="B140" s="26"/>
      <c r="C140" s="27">
        <v>0</v>
      </c>
      <c r="D140" s="27">
        <v>0</v>
      </c>
      <c r="E140" s="27">
        <v>0</v>
      </c>
      <c r="F140" s="51"/>
      <c r="G140" s="29" t="s">
        <v>233</v>
      </c>
      <c r="H140" s="30" t="s">
        <v>12</v>
      </c>
      <c r="I140" s="28" t="s">
        <v>47</v>
      </c>
      <c r="J140" s="51">
        <v>27</v>
      </c>
      <c r="K140" s="79" t="s">
        <v>461</v>
      </c>
    </row>
    <row r="141" spans="1:12" ht="45" x14ac:dyDescent="0.25">
      <c r="A141" s="25"/>
      <c r="B141" s="26"/>
      <c r="C141" s="27">
        <v>0</v>
      </c>
      <c r="D141" s="27">
        <v>0</v>
      </c>
      <c r="E141" s="27">
        <v>0</v>
      </c>
      <c r="F141" s="51"/>
      <c r="G141" s="29" t="s">
        <v>234</v>
      </c>
      <c r="H141" s="30" t="s">
        <v>12</v>
      </c>
      <c r="I141" s="28" t="s">
        <v>32</v>
      </c>
      <c r="J141" s="51">
        <v>47</v>
      </c>
      <c r="K141" s="79" t="s">
        <v>482</v>
      </c>
    </row>
    <row r="142" spans="1:12" ht="135.75" thickBot="1" x14ac:dyDescent="0.3">
      <c r="A142" s="25"/>
      <c r="B142" s="26"/>
      <c r="C142" s="27">
        <v>0</v>
      </c>
      <c r="D142" s="27">
        <v>0</v>
      </c>
      <c r="E142" s="27">
        <v>0</v>
      </c>
      <c r="F142" s="51"/>
      <c r="G142" s="29" t="s">
        <v>235</v>
      </c>
      <c r="H142" s="30" t="s">
        <v>12</v>
      </c>
      <c r="I142" s="28" t="s">
        <v>46</v>
      </c>
      <c r="J142" s="51">
        <v>62</v>
      </c>
      <c r="K142" s="79" t="s">
        <v>492</v>
      </c>
    </row>
    <row r="143" spans="1:12" ht="65.25" customHeight="1" thickBot="1" x14ac:dyDescent="0.3">
      <c r="A143" s="91" t="s">
        <v>236</v>
      </c>
      <c r="B143" s="92" t="s">
        <v>237</v>
      </c>
      <c r="C143" s="20">
        <v>120000</v>
      </c>
      <c r="D143" s="20">
        <v>127100</v>
      </c>
      <c r="E143" s="20">
        <v>127100</v>
      </c>
      <c r="F143" s="49">
        <f>E143*100/D143</f>
        <v>100</v>
      </c>
      <c r="G143" s="22" t="s">
        <v>238</v>
      </c>
      <c r="H143" s="23" t="s">
        <v>239</v>
      </c>
      <c r="I143" s="21" t="s">
        <v>240</v>
      </c>
      <c r="J143" s="49" t="s">
        <v>443</v>
      </c>
      <c r="K143" s="88" t="s">
        <v>444</v>
      </c>
    </row>
    <row r="144" spans="1:12" ht="90.75" thickBot="1" x14ac:dyDescent="0.3">
      <c r="A144" s="196" t="s">
        <v>241</v>
      </c>
      <c r="B144" s="197" t="s">
        <v>242</v>
      </c>
      <c r="C144" s="213">
        <v>3000</v>
      </c>
      <c r="D144" s="213">
        <v>17912</v>
      </c>
      <c r="E144" s="213">
        <v>202</v>
      </c>
      <c r="F144" s="199">
        <f t="shared" ref="F144:F145" si="2">E144*100/D144</f>
        <v>1.1277355962483251</v>
      </c>
      <c r="G144" s="200" t="s">
        <v>243</v>
      </c>
      <c r="H144" s="201" t="s">
        <v>12</v>
      </c>
      <c r="I144" s="202" t="s">
        <v>53</v>
      </c>
      <c r="J144" s="203">
        <v>2</v>
      </c>
      <c r="K144" s="204" t="s">
        <v>483</v>
      </c>
    </row>
    <row r="145" spans="1:11" ht="60.75" thickBot="1" x14ac:dyDescent="0.3">
      <c r="A145" s="91" t="s">
        <v>244</v>
      </c>
      <c r="B145" s="92" t="s">
        <v>245</v>
      </c>
      <c r="C145" s="20">
        <v>650</v>
      </c>
      <c r="D145" s="20">
        <v>250</v>
      </c>
      <c r="E145" s="20">
        <v>169</v>
      </c>
      <c r="F145" s="71">
        <f t="shared" si="2"/>
        <v>67.599999999999994</v>
      </c>
      <c r="G145" s="22" t="s">
        <v>246</v>
      </c>
      <c r="H145" s="23" t="s">
        <v>12</v>
      </c>
      <c r="I145" s="21" t="s">
        <v>19</v>
      </c>
      <c r="J145" s="49">
        <v>1</v>
      </c>
      <c r="K145" s="88" t="s">
        <v>484</v>
      </c>
    </row>
    <row r="146" spans="1:11" ht="45.75" thickBot="1" x14ac:dyDescent="0.3">
      <c r="A146" s="15" t="s">
        <v>247</v>
      </c>
      <c r="B146" s="16" t="s">
        <v>248</v>
      </c>
      <c r="C146" s="17">
        <f>C147+C149+C150</f>
        <v>362000</v>
      </c>
      <c r="D146" s="17">
        <f>D147+D149+D150</f>
        <v>292000</v>
      </c>
      <c r="E146" s="17">
        <f>E147+E149+E150</f>
        <v>218159.15000000002</v>
      </c>
      <c r="F146" s="52">
        <f>E146*100/D146</f>
        <v>74.712037671232892</v>
      </c>
      <c r="G146" s="18" t="s">
        <v>318</v>
      </c>
      <c r="H146" s="19" t="s">
        <v>12</v>
      </c>
      <c r="I146" s="52">
        <v>1</v>
      </c>
      <c r="J146" s="52">
        <v>1</v>
      </c>
      <c r="K146" s="90" t="s">
        <v>425</v>
      </c>
    </row>
    <row r="147" spans="1:11" ht="65.25" customHeight="1" x14ac:dyDescent="0.25">
      <c r="A147" s="214" t="s">
        <v>249</v>
      </c>
      <c r="B147" s="215" t="s">
        <v>250</v>
      </c>
      <c r="C147" s="198">
        <f>SUM(C148:C148)+142000</f>
        <v>142000</v>
      </c>
      <c r="D147" s="198">
        <f>SUM(D148:D148)+92000</f>
        <v>92000</v>
      </c>
      <c r="E147" s="198">
        <f>SUM(E148:E148)+31708</f>
        <v>31708</v>
      </c>
      <c r="F147" s="216">
        <f>E147*100/D147</f>
        <v>34.46521739130435</v>
      </c>
      <c r="G147" s="200" t="s">
        <v>251</v>
      </c>
      <c r="H147" s="201" t="s">
        <v>12</v>
      </c>
      <c r="I147" s="202" t="s">
        <v>53</v>
      </c>
      <c r="J147" s="203">
        <v>2</v>
      </c>
      <c r="K147" s="204" t="s">
        <v>485</v>
      </c>
    </row>
    <row r="148" spans="1:11" ht="15.75" thickBot="1" x14ac:dyDescent="0.3">
      <c r="A148" s="217"/>
      <c r="B148" s="218"/>
      <c r="C148" s="207">
        <v>0</v>
      </c>
      <c r="D148" s="207">
        <v>0</v>
      </c>
      <c r="E148" s="207">
        <v>0</v>
      </c>
      <c r="F148" s="219"/>
      <c r="G148" s="209" t="s">
        <v>252</v>
      </c>
      <c r="H148" s="210" t="s">
        <v>12</v>
      </c>
      <c r="I148" s="211" t="s">
        <v>53</v>
      </c>
      <c r="J148" s="208">
        <v>2</v>
      </c>
      <c r="K148" s="212" t="s">
        <v>426</v>
      </c>
    </row>
    <row r="149" spans="1:11" ht="112.5" customHeight="1" thickBot="1" x14ac:dyDescent="0.3">
      <c r="A149" s="214" t="s">
        <v>253</v>
      </c>
      <c r="B149" s="215" t="s">
        <v>254</v>
      </c>
      <c r="C149" s="213">
        <v>20000</v>
      </c>
      <c r="D149" s="213">
        <v>20000</v>
      </c>
      <c r="E149" s="213">
        <v>8324.14</v>
      </c>
      <c r="F149" s="199">
        <f t="shared" ref="F149:F150" si="3">E149*100/D149</f>
        <v>41.620699999999999</v>
      </c>
      <c r="G149" s="200" t="s">
        <v>255</v>
      </c>
      <c r="H149" s="201" t="s">
        <v>12</v>
      </c>
      <c r="I149" s="202" t="s">
        <v>41</v>
      </c>
      <c r="J149" s="203">
        <v>11</v>
      </c>
      <c r="K149" s="204" t="s">
        <v>427</v>
      </c>
    </row>
    <row r="150" spans="1:11" ht="150" customHeight="1" thickBot="1" x14ac:dyDescent="0.3">
      <c r="A150" s="155" t="s">
        <v>256</v>
      </c>
      <c r="B150" s="156" t="s">
        <v>257</v>
      </c>
      <c r="C150" s="157">
        <v>200000</v>
      </c>
      <c r="D150" s="157">
        <v>180000</v>
      </c>
      <c r="E150" s="157">
        <v>178127.01</v>
      </c>
      <c r="F150" s="71">
        <f t="shared" si="3"/>
        <v>98.959450000000004</v>
      </c>
      <c r="G150" s="103" t="s">
        <v>258</v>
      </c>
      <c r="H150" s="104" t="s">
        <v>12</v>
      </c>
      <c r="I150" s="105" t="s">
        <v>35</v>
      </c>
      <c r="J150" s="71">
        <v>31</v>
      </c>
      <c r="K150" s="174" t="s">
        <v>486</v>
      </c>
    </row>
    <row r="151" spans="1:11" ht="45" x14ac:dyDescent="0.25">
      <c r="A151" s="44" t="s">
        <v>259</v>
      </c>
      <c r="B151" s="45" t="s">
        <v>260</v>
      </c>
      <c r="C151" s="46">
        <f>C153+C156+C157+C158+C167</f>
        <v>430100</v>
      </c>
      <c r="D151" s="46">
        <f>D153+D156+D157+D158+D167</f>
        <v>373800</v>
      </c>
      <c r="E151" s="46">
        <f>E153+E156+E157+E158+E167</f>
        <v>364819.76</v>
      </c>
      <c r="F151" s="48">
        <f>E151*100/D151</f>
        <v>97.597581594435525</v>
      </c>
      <c r="G151" s="37" t="s">
        <v>316</v>
      </c>
      <c r="H151" s="38" t="s">
        <v>21</v>
      </c>
      <c r="I151" s="48">
        <v>95</v>
      </c>
      <c r="J151" s="48">
        <v>95</v>
      </c>
      <c r="K151" s="78" t="s">
        <v>413</v>
      </c>
    </row>
    <row r="152" spans="1:11" ht="45.75" thickBot="1" x14ac:dyDescent="0.3">
      <c r="A152" s="41"/>
      <c r="B152" s="42"/>
      <c r="C152" s="43"/>
      <c r="D152" s="43"/>
      <c r="E152" s="43"/>
      <c r="F152" s="62"/>
      <c r="G152" s="39" t="s">
        <v>317</v>
      </c>
      <c r="H152" s="40" t="s">
        <v>21</v>
      </c>
      <c r="I152" s="50">
        <v>40</v>
      </c>
      <c r="J152" s="50">
        <v>67</v>
      </c>
      <c r="K152" s="78" t="s">
        <v>422</v>
      </c>
    </row>
    <row r="153" spans="1:11" ht="120" x14ac:dyDescent="0.25">
      <c r="A153" s="91" t="s">
        <v>261</v>
      </c>
      <c r="B153" s="92" t="s">
        <v>262</v>
      </c>
      <c r="C153" s="24">
        <f>SUM(C154:C155)+300000</f>
        <v>300000</v>
      </c>
      <c r="D153" s="24">
        <f>SUM(D154:D155)+300000</f>
        <v>300000</v>
      </c>
      <c r="E153" s="24">
        <f>SUM(E154:E155)+294793.88</f>
        <v>294793.88</v>
      </c>
      <c r="F153" s="87">
        <f>E153*100/D153</f>
        <v>98.264626666666672</v>
      </c>
      <c r="G153" s="22" t="s">
        <v>263</v>
      </c>
      <c r="H153" s="23" t="s">
        <v>12</v>
      </c>
      <c r="I153" s="21" t="s">
        <v>17</v>
      </c>
      <c r="J153" s="49">
        <v>2</v>
      </c>
      <c r="K153" s="159" t="s">
        <v>462</v>
      </c>
    </row>
    <row r="154" spans="1:11" ht="75.75" customHeight="1" x14ac:dyDescent="0.25">
      <c r="A154" s="25"/>
      <c r="B154" s="26"/>
      <c r="C154" s="27">
        <v>0</v>
      </c>
      <c r="D154" s="27">
        <v>0</v>
      </c>
      <c r="E154" s="27">
        <v>0</v>
      </c>
      <c r="F154" s="160"/>
      <c r="G154" s="29" t="s">
        <v>264</v>
      </c>
      <c r="H154" s="30" t="s">
        <v>12</v>
      </c>
      <c r="I154" s="28" t="s">
        <v>57</v>
      </c>
      <c r="J154" s="51">
        <v>42</v>
      </c>
      <c r="K154" s="138" t="s">
        <v>463</v>
      </c>
    </row>
    <row r="155" spans="1:11" ht="135" customHeight="1" thickBot="1" x14ac:dyDescent="0.3">
      <c r="A155" s="25"/>
      <c r="B155" s="26"/>
      <c r="C155" s="27">
        <v>0</v>
      </c>
      <c r="D155" s="27">
        <v>0</v>
      </c>
      <c r="E155" s="27">
        <v>0</v>
      </c>
      <c r="F155" s="151"/>
      <c r="G155" s="29" t="s">
        <v>265</v>
      </c>
      <c r="H155" s="30" t="s">
        <v>12</v>
      </c>
      <c r="I155" s="28" t="s">
        <v>19</v>
      </c>
      <c r="J155" s="51">
        <v>9</v>
      </c>
      <c r="K155" s="108" t="s">
        <v>487</v>
      </c>
    </row>
    <row r="156" spans="1:11" ht="30.75" thickBot="1" x14ac:dyDescent="0.3">
      <c r="A156" s="91" t="s">
        <v>266</v>
      </c>
      <c r="B156" s="92" t="s">
        <v>267</v>
      </c>
      <c r="C156" s="20">
        <v>23800</v>
      </c>
      <c r="D156" s="20">
        <v>23800</v>
      </c>
      <c r="E156" s="20">
        <v>23800</v>
      </c>
      <c r="F156" s="49">
        <f t="shared" ref="F156:F157" si="4">E156*100/D156</f>
        <v>100</v>
      </c>
      <c r="G156" s="22" t="s">
        <v>268</v>
      </c>
      <c r="H156" s="23" t="s">
        <v>28</v>
      </c>
      <c r="I156" s="21" t="s">
        <v>269</v>
      </c>
      <c r="J156" s="49" t="s">
        <v>445</v>
      </c>
      <c r="K156" s="88" t="s">
        <v>387</v>
      </c>
    </row>
    <row r="157" spans="1:11" ht="45.75" thickBot="1" x14ac:dyDescent="0.3">
      <c r="A157" s="91" t="s">
        <v>270</v>
      </c>
      <c r="B157" s="92" t="s">
        <v>271</v>
      </c>
      <c r="C157" s="20">
        <v>55000</v>
      </c>
      <c r="D157" s="20">
        <v>50000</v>
      </c>
      <c r="E157" s="20">
        <v>46225.88</v>
      </c>
      <c r="F157" s="71">
        <f t="shared" si="4"/>
        <v>92.451759999999993</v>
      </c>
      <c r="G157" s="22" t="s">
        <v>272</v>
      </c>
      <c r="H157" s="23" t="s">
        <v>12</v>
      </c>
      <c r="I157" s="21" t="s">
        <v>76</v>
      </c>
      <c r="J157" s="49">
        <v>100</v>
      </c>
      <c r="K157" s="123" t="s">
        <v>388</v>
      </c>
    </row>
    <row r="158" spans="1:11" ht="45" x14ac:dyDescent="0.25">
      <c r="A158" s="91" t="s">
        <v>273</v>
      </c>
      <c r="B158" s="92" t="s">
        <v>274</v>
      </c>
      <c r="C158" s="24">
        <f>SUM(C159:C166)+1000</f>
        <v>1000</v>
      </c>
      <c r="D158" s="24">
        <f>SUM(D159:D166)</f>
        <v>0</v>
      </c>
      <c r="E158" s="24">
        <f>SUM(E159:E166)</f>
        <v>0</v>
      </c>
      <c r="F158" s="49">
        <v>0</v>
      </c>
      <c r="G158" s="22" t="s">
        <v>275</v>
      </c>
      <c r="H158" s="23" t="s">
        <v>12</v>
      </c>
      <c r="I158" s="21" t="s">
        <v>17</v>
      </c>
      <c r="J158" s="49">
        <v>3</v>
      </c>
      <c r="K158" s="88" t="s">
        <v>457</v>
      </c>
    </row>
    <row r="159" spans="1:11" ht="45" x14ac:dyDescent="0.25">
      <c r="A159" s="25"/>
      <c r="B159" s="26"/>
      <c r="C159" s="27">
        <v>0</v>
      </c>
      <c r="D159" s="27">
        <v>0</v>
      </c>
      <c r="E159" s="27">
        <v>0</v>
      </c>
      <c r="F159" s="51"/>
      <c r="G159" s="29" t="s">
        <v>276</v>
      </c>
      <c r="H159" s="30" t="s">
        <v>12</v>
      </c>
      <c r="I159" s="28" t="s">
        <v>17</v>
      </c>
      <c r="J159" s="51">
        <v>2</v>
      </c>
      <c r="K159" s="79"/>
    </row>
    <row r="160" spans="1:11" ht="150" customHeight="1" x14ac:dyDescent="0.25">
      <c r="A160" s="25"/>
      <c r="B160" s="26"/>
      <c r="C160" s="27">
        <v>0</v>
      </c>
      <c r="D160" s="27">
        <v>0</v>
      </c>
      <c r="E160" s="27">
        <v>0</v>
      </c>
      <c r="F160" s="51"/>
      <c r="G160" s="29" t="s">
        <v>277</v>
      </c>
      <c r="H160" s="30" t="s">
        <v>12</v>
      </c>
      <c r="I160" s="28" t="s">
        <v>19</v>
      </c>
      <c r="J160" s="51">
        <v>4</v>
      </c>
      <c r="K160" s="161" t="s">
        <v>446</v>
      </c>
    </row>
    <row r="161" spans="1:11" ht="60" customHeight="1" x14ac:dyDescent="0.25">
      <c r="A161" s="25"/>
      <c r="B161" s="26"/>
      <c r="C161" s="27">
        <v>0</v>
      </c>
      <c r="D161" s="27">
        <v>0</v>
      </c>
      <c r="E161" s="27">
        <v>0</v>
      </c>
      <c r="F161" s="51"/>
      <c r="G161" s="29" t="s">
        <v>278</v>
      </c>
      <c r="H161" s="30" t="s">
        <v>21</v>
      </c>
      <c r="I161" s="28" t="s">
        <v>39</v>
      </c>
      <c r="J161" s="51">
        <v>97</v>
      </c>
      <c r="K161" s="108" t="s">
        <v>389</v>
      </c>
    </row>
    <row r="162" spans="1:11" ht="120" customHeight="1" x14ac:dyDescent="0.25">
      <c r="A162" s="25"/>
      <c r="B162" s="26"/>
      <c r="C162" s="27">
        <v>0</v>
      </c>
      <c r="D162" s="27">
        <v>0</v>
      </c>
      <c r="E162" s="27">
        <v>0</v>
      </c>
      <c r="F162" s="51"/>
      <c r="G162" s="29" t="s">
        <v>279</v>
      </c>
      <c r="H162" s="30" t="s">
        <v>12</v>
      </c>
      <c r="I162" s="28" t="s">
        <v>146</v>
      </c>
      <c r="J162" s="51">
        <v>6</v>
      </c>
      <c r="K162" s="79" t="s">
        <v>488</v>
      </c>
    </row>
    <row r="163" spans="1:11" ht="45" customHeight="1" x14ac:dyDescent="0.25">
      <c r="A163" s="25"/>
      <c r="B163" s="26"/>
      <c r="C163" s="27">
        <v>0</v>
      </c>
      <c r="D163" s="27">
        <v>0</v>
      </c>
      <c r="E163" s="27">
        <v>0</v>
      </c>
      <c r="F163" s="51"/>
      <c r="G163" s="29" t="s">
        <v>280</v>
      </c>
      <c r="H163" s="30" t="s">
        <v>12</v>
      </c>
      <c r="I163" s="28" t="s">
        <v>46</v>
      </c>
      <c r="J163" s="51">
        <v>21</v>
      </c>
      <c r="K163" s="79" t="s">
        <v>489</v>
      </c>
    </row>
    <row r="164" spans="1:11" ht="30" x14ac:dyDescent="0.25">
      <c r="A164" s="25"/>
      <c r="B164" s="26"/>
      <c r="C164" s="27">
        <v>0</v>
      </c>
      <c r="D164" s="27">
        <v>0</v>
      </c>
      <c r="E164" s="27">
        <v>0</v>
      </c>
      <c r="F164" s="51"/>
      <c r="G164" s="29" t="s">
        <v>281</v>
      </c>
      <c r="H164" s="30" t="s">
        <v>12</v>
      </c>
      <c r="I164" s="28" t="s">
        <v>17</v>
      </c>
      <c r="J164" s="51">
        <v>2</v>
      </c>
      <c r="K164" s="115"/>
    </row>
    <row r="165" spans="1:11" ht="45" x14ac:dyDescent="0.25">
      <c r="A165" s="25"/>
      <c r="B165" s="26"/>
      <c r="C165" s="27">
        <v>0</v>
      </c>
      <c r="D165" s="27">
        <v>0</v>
      </c>
      <c r="E165" s="27">
        <v>0</v>
      </c>
      <c r="F165" s="51"/>
      <c r="G165" s="29" t="s">
        <v>282</v>
      </c>
      <c r="H165" s="30" t="s">
        <v>12</v>
      </c>
      <c r="I165" s="28" t="s">
        <v>17</v>
      </c>
      <c r="J165" s="51">
        <v>1</v>
      </c>
      <c r="K165" s="79" t="s">
        <v>447</v>
      </c>
    </row>
    <row r="166" spans="1:11" ht="45.75" thickBot="1" x14ac:dyDescent="0.3">
      <c r="A166" s="25"/>
      <c r="B166" s="26"/>
      <c r="C166" s="27">
        <v>0</v>
      </c>
      <c r="D166" s="27">
        <v>0</v>
      </c>
      <c r="E166" s="27">
        <v>0</v>
      </c>
      <c r="F166" s="51"/>
      <c r="G166" s="29" t="s">
        <v>283</v>
      </c>
      <c r="H166" s="30" t="s">
        <v>21</v>
      </c>
      <c r="I166" s="28" t="s">
        <v>22</v>
      </c>
      <c r="J166" s="51">
        <v>70</v>
      </c>
      <c r="K166" s="79" t="s">
        <v>448</v>
      </c>
    </row>
    <row r="167" spans="1:11" ht="75" x14ac:dyDescent="0.25">
      <c r="A167" s="178" t="s">
        <v>284</v>
      </c>
      <c r="B167" s="179" t="s">
        <v>285</v>
      </c>
      <c r="C167" s="180">
        <f>SUM(C168:C169)+50300</f>
        <v>50300</v>
      </c>
      <c r="D167" s="180">
        <f>SUM(D168:D169)</f>
        <v>0</v>
      </c>
      <c r="E167" s="180">
        <f>SUM(E168:E169)</f>
        <v>0</v>
      </c>
      <c r="F167" s="181">
        <v>0</v>
      </c>
      <c r="G167" s="182" t="s">
        <v>286</v>
      </c>
      <c r="H167" s="183" t="s">
        <v>12</v>
      </c>
      <c r="I167" s="184" t="s">
        <v>120</v>
      </c>
      <c r="J167" s="185" t="s">
        <v>449</v>
      </c>
      <c r="K167" s="186" t="s">
        <v>394</v>
      </c>
    </row>
    <row r="168" spans="1:11" ht="94.5" customHeight="1" x14ac:dyDescent="0.25">
      <c r="A168" s="187"/>
      <c r="B168" s="188"/>
      <c r="C168" s="189">
        <v>0</v>
      </c>
      <c r="D168" s="189">
        <v>0</v>
      </c>
      <c r="E168" s="189">
        <v>0</v>
      </c>
      <c r="F168" s="190"/>
      <c r="G168" s="191" t="s">
        <v>287</v>
      </c>
      <c r="H168" s="192" t="s">
        <v>28</v>
      </c>
      <c r="I168" s="193" t="s">
        <v>288</v>
      </c>
      <c r="J168" s="190">
        <v>0</v>
      </c>
      <c r="K168" s="194" t="s">
        <v>490</v>
      </c>
    </row>
    <row r="169" spans="1:11" ht="105.75" thickBot="1" x14ac:dyDescent="0.3">
      <c r="A169" s="187"/>
      <c r="B169" s="188"/>
      <c r="C169" s="189">
        <v>0</v>
      </c>
      <c r="D169" s="189">
        <v>0</v>
      </c>
      <c r="E169" s="189">
        <v>0</v>
      </c>
      <c r="F169" s="190"/>
      <c r="G169" s="191" t="s">
        <v>289</v>
      </c>
      <c r="H169" s="192" t="s">
        <v>12</v>
      </c>
      <c r="I169" s="193" t="s">
        <v>19</v>
      </c>
      <c r="J169" s="190">
        <v>0</v>
      </c>
      <c r="K169" s="195" t="s">
        <v>491</v>
      </c>
    </row>
    <row r="170" spans="1:11" ht="30.75" thickBot="1" x14ac:dyDescent="0.3">
      <c r="A170" s="15" t="s">
        <v>290</v>
      </c>
      <c r="B170" s="16" t="s">
        <v>291</v>
      </c>
      <c r="C170" s="17">
        <f>SUM(C171:C171)</f>
        <v>311500</v>
      </c>
      <c r="D170" s="17">
        <f>SUM(D171:D171)</f>
        <v>281500</v>
      </c>
      <c r="E170" s="17">
        <f>SUM(E171:E171)</f>
        <v>275109.7</v>
      </c>
      <c r="F170" s="52">
        <f>E170*100/D170</f>
        <v>97.729911190053286</v>
      </c>
      <c r="G170" s="18" t="s">
        <v>315</v>
      </c>
      <c r="H170" s="19" t="s">
        <v>21</v>
      </c>
      <c r="I170" s="52">
        <v>3</v>
      </c>
      <c r="J170" s="177">
        <v>3</v>
      </c>
      <c r="K170" s="75"/>
    </row>
    <row r="171" spans="1:11" ht="45.75" thickBot="1" x14ac:dyDescent="0.3">
      <c r="A171" s="162" t="s">
        <v>292</v>
      </c>
      <c r="B171" s="163" t="s">
        <v>293</v>
      </c>
      <c r="C171" s="164">
        <v>311500</v>
      </c>
      <c r="D171" s="164">
        <v>281500</v>
      </c>
      <c r="E171" s="164">
        <v>275109.7</v>
      </c>
      <c r="F171" s="165">
        <f>E171*100/D171</f>
        <v>97.729911190053286</v>
      </c>
      <c r="G171" s="166" t="s">
        <v>294</v>
      </c>
      <c r="H171" s="167" t="s">
        <v>12</v>
      </c>
      <c r="I171" s="168" t="s">
        <v>36</v>
      </c>
      <c r="J171" s="169">
        <v>8</v>
      </c>
      <c r="K171" s="170" t="s">
        <v>421</v>
      </c>
    </row>
    <row r="172" spans="1:11" x14ac:dyDescent="0.25">
      <c r="A172" s="57"/>
      <c r="B172" s="57" t="s">
        <v>295</v>
      </c>
      <c r="C172" s="58">
        <f>C173+C176+C179+C181</f>
        <v>14530171.859999999</v>
      </c>
      <c r="D172" s="58">
        <f>D173+D176+D179+D181</f>
        <v>14735504.119999999</v>
      </c>
      <c r="E172" s="59">
        <f>E173+E176+E179+E181</f>
        <v>14170714.240000002</v>
      </c>
      <c r="F172" s="60">
        <f>E172*100/D172</f>
        <v>96.167149251219527</v>
      </c>
    </row>
    <row r="173" spans="1:11" ht="30" x14ac:dyDescent="0.25">
      <c r="A173" s="26"/>
      <c r="B173" s="26" t="s">
        <v>296</v>
      </c>
      <c r="C173" s="31">
        <f>SUM(C174:C175)</f>
        <v>13720450</v>
      </c>
      <c r="D173" s="31">
        <f>SUM(D174:D175)</f>
        <v>13950980</v>
      </c>
      <c r="E173" s="53">
        <f>SUM(E174:E175)</f>
        <v>13424543.74</v>
      </c>
      <c r="F173" s="56">
        <f t="shared" ref="F173:F187" si="5">E173*100/D173</f>
        <v>96.226528458932634</v>
      </c>
    </row>
    <row r="174" spans="1:11" hidden="1" x14ac:dyDescent="0.25">
      <c r="A174" s="26"/>
      <c r="B174" s="26" t="s">
        <v>297</v>
      </c>
      <c r="C174" s="27">
        <v>13640450</v>
      </c>
      <c r="D174" s="27">
        <v>13870980</v>
      </c>
      <c r="E174" s="54">
        <v>13424543.74</v>
      </c>
      <c r="F174" s="56">
        <f t="shared" si="5"/>
        <v>96.781508876806114</v>
      </c>
    </row>
    <row r="175" spans="1:11" hidden="1" x14ac:dyDescent="0.25">
      <c r="A175" s="26"/>
      <c r="B175" s="26" t="s">
        <v>298</v>
      </c>
      <c r="C175" s="27">
        <v>80000</v>
      </c>
      <c r="D175" s="27">
        <v>80000</v>
      </c>
      <c r="E175" s="54">
        <v>0</v>
      </c>
      <c r="F175" s="56">
        <f t="shared" si="5"/>
        <v>0</v>
      </c>
    </row>
    <row r="176" spans="1:11" x14ac:dyDescent="0.25">
      <c r="A176" s="26"/>
      <c r="B176" s="26" t="s">
        <v>299</v>
      </c>
      <c r="C176" s="31">
        <f>SUM(C177:C178)</f>
        <v>730457</v>
      </c>
      <c r="D176" s="31">
        <f>SUM(D177:D178)</f>
        <v>704459.26</v>
      </c>
      <c r="E176" s="53">
        <f>SUM(E177:E178)</f>
        <v>700254.7300000001</v>
      </c>
      <c r="F176" s="56">
        <f t="shared" si="5"/>
        <v>99.403154981595407</v>
      </c>
    </row>
    <row r="177" spans="1:6" hidden="1" x14ac:dyDescent="0.25">
      <c r="A177" s="26"/>
      <c r="B177" s="26" t="s">
        <v>300</v>
      </c>
      <c r="C177" s="27">
        <v>32891</v>
      </c>
      <c r="D177" s="27">
        <v>32358.26</v>
      </c>
      <c r="E177" s="54">
        <v>31990.55</v>
      </c>
      <c r="F177" s="56">
        <f t="shared" si="5"/>
        <v>98.863628637633795</v>
      </c>
    </row>
    <row r="178" spans="1:6" ht="30" hidden="1" x14ac:dyDescent="0.25">
      <c r="A178" s="26"/>
      <c r="B178" s="26" t="s">
        <v>301</v>
      </c>
      <c r="C178" s="27">
        <v>697566</v>
      </c>
      <c r="D178" s="27">
        <v>672101</v>
      </c>
      <c r="E178" s="54">
        <v>668264.18000000005</v>
      </c>
      <c r="F178" s="56">
        <f t="shared" si="5"/>
        <v>99.429130443192335</v>
      </c>
    </row>
    <row r="179" spans="1:6" x14ac:dyDescent="0.25">
      <c r="A179" s="26"/>
      <c r="B179" s="26" t="s">
        <v>302</v>
      </c>
      <c r="C179" s="31">
        <f>SUM(C180:C180)</f>
        <v>36200</v>
      </c>
      <c r="D179" s="31">
        <f>SUM(D180:D180)</f>
        <v>37000</v>
      </c>
      <c r="E179" s="53">
        <f>SUM(E180:E180)</f>
        <v>21330.560000000001</v>
      </c>
      <c r="F179" s="56">
        <f t="shared" si="5"/>
        <v>57.650162162162161</v>
      </c>
    </row>
    <row r="180" spans="1:6" hidden="1" x14ac:dyDescent="0.25">
      <c r="A180" s="26"/>
      <c r="B180" s="26" t="s">
        <v>303</v>
      </c>
      <c r="C180" s="27">
        <v>36200</v>
      </c>
      <c r="D180" s="27">
        <v>37000</v>
      </c>
      <c r="E180" s="54">
        <v>21330.560000000001</v>
      </c>
      <c r="F180" s="56">
        <f t="shared" si="5"/>
        <v>57.650162162162161</v>
      </c>
    </row>
    <row r="181" spans="1:6" x14ac:dyDescent="0.25">
      <c r="A181" s="26"/>
      <c r="B181" s="26" t="s">
        <v>304</v>
      </c>
      <c r="C181" s="31">
        <f>SUM(C182:C183)</f>
        <v>43064.86</v>
      </c>
      <c r="D181" s="31">
        <f>SUM(D182:D183)</f>
        <v>43064.86</v>
      </c>
      <c r="E181" s="53">
        <f>SUM(E182:E183)</f>
        <v>24585.21</v>
      </c>
      <c r="F181" s="56">
        <f t="shared" si="5"/>
        <v>57.088795830289477</v>
      </c>
    </row>
    <row r="182" spans="1:6" x14ac:dyDescent="0.25">
      <c r="A182" s="26"/>
      <c r="B182" s="26" t="s">
        <v>305</v>
      </c>
      <c r="C182" s="27">
        <v>8709.32</v>
      </c>
      <c r="D182" s="27">
        <v>8709.32</v>
      </c>
      <c r="E182" s="54">
        <v>8301.65</v>
      </c>
      <c r="F182" s="56">
        <f t="shared" si="5"/>
        <v>95.319152356326327</v>
      </c>
    </row>
    <row r="183" spans="1:6" x14ac:dyDescent="0.25">
      <c r="A183" s="26"/>
      <c r="B183" s="26" t="s">
        <v>306</v>
      </c>
      <c r="C183" s="27">
        <v>34355.54</v>
      </c>
      <c r="D183" s="27">
        <v>34355.54</v>
      </c>
      <c r="E183" s="54">
        <v>16283.56</v>
      </c>
      <c r="F183" s="56">
        <f t="shared" si="5"/>
        <v>47.397188342840778</v>
      </c>
    </row>
    <row r="184" spans="1:6" ht="45" x14ac:dyDescent="0.25">
      <c r="A184" s="57"/>
      <c r="B184" s="57" t="s">
        <v>307</v>
      </c>
      <c r="C184" s="58">
        <f>SUM(C185:C186)</f>
        <v>419804</v>
      </c>
      <c r="D184" s="58">
        <f>SUM(D185:D186)</f>
        <v>474444.89</v>
      </c>
      <c r="E184" s="59">
        <f>SUM(E185:E186)</f>
        <v>485480.67000000004</v>
      </c>
      <c r="F184" s="61">
        <f t="shared" si="5"/>
        <v>102.32604043854283</v>
      </c>
    </row>
    <row r="185" spans="1:6" x14ac:dyDescent="0.25">
      <c r="A185" s="26"/>
      <c r="B185" s="26" t="s">
        <v>308</v>
      </c>
      <c r="C185" s="27">
        <v>36482</v>
      </c>
      <c r="D185" s="27">
        <v>36482</v>
      </c>
      <c r="E185" s="54">
        <v>47729.03</v>
      </c>
      <c r="F185" s="56">
        <f t="shared" si="5"/>
        <v>130.82898415657036</v>
      </c>
    </row>
    <row r="186" spans="1:6" x14ac:dyDescent="0.25">
      <c r="A186" s="26"/>
      <c r="B186" s="26" t="s">
        <v>309</v>
      </c>
      <c r="C186" s="27">
        <v>383322</v>
      </c>
      <c r="D186" s="27">
        <v>437962.89</v>
      </c>
      <c r="E186" s="54">
        <v>437751.64</v>
      </c>
      <c r="F186" s="56">
        <f t="shared" si="5"/>
        <v>99.951765319659842</v>
      </c>
    </row>
    <row r="187" spans="1:6" ht="28.5" x14ac:dyDescent="0.25">
      <c r="A187" s="32"/>
      <c r="B187" s="33" t="s">
        <v>310</v>
      </c>
      <c r="C187" s="34">
        <f>C172+C184</f>
        <v>14949975.859999999</v>
      </c>
      <c r="D187" s="34">
        <f>D172+D184</f>
        <v>15209949.01</v>
      </c>
      <c r="E187" s="55">
        <f>E172+E184</f>
        <v>14656194.910000002</v>
      </c>
      <c r="F187" s="64">
        <f t="shared" si="5"/>
        <v>96.35926392891966</v>
      </c>
    </row>
  </sheetData>
  <mergeCells count="12">
    <mergeCell ref="A3:A5"/>
    <mergeCell ref="B3:B5"/>
    <mergeCell ref="C3:C5"/>
    <mergeCell ref="D3:D5"/>
    <mergeCell ref="E3:E5"/>
    <mergeCell ref="K3:K5"/>
    <mergeCell ref="B1:G1"/>
    <mergeCell ref="F3:F5"/>
    <mergeCell ref="G4:G5"/>
    <mergeCell ref="H4:H5"/>
    <mergeCell ref="G3:J3"/>
    <mergeCell ref="I4:J4"/>
  </mergeCells>
  <pageMargins left="0.4" right="0.4" top="0.4" bottom="0.4" header="0.4" footer="0.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Aprašymas</vt:lpstr>
      <vt:lpstr>Programos ataskaita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loreta kinciuviene</dc:creator>
  <cp:lastModifiedBy>vartotojas</cp:lastModifiedBy>
  <dcterms:created xsi:type="dcterms:W3CDTF">2026-02-18T10:55:07Z</dcterms:created>
  <dcterms:modified xsi:type="dcterms:W3CDTF">2026-04-14T13:06:52Z</dcterms:modified>
</cp:coreProperties>
</file>